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3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REGULATN\PA&amp;D\CASES\Washington\2023 GRC\Direct\"/>
    </mc:Choice>
  </mc:AlternateContent>
  <xr:revisionPtr revIDLastSave="0" documentId="13_ncr:1_{26037244-C0A3-41AF-A67C-02C06123A9E0}" xr6:coauthVersionLast="47" xr6:coauthVersionMax="47" xr10:uidLastSave="{00000000-0000-0000-0000-000000000000}"/>
  <bookViews>
    <workbookView xWindow="-120" yWindow="-120" windowWidth="29040" windowHeight="15990" tabRatio="854" xr2:uid="{00000000-000D-0000-FFFF-FFFF00000000}"/>
  </bookViews>
  <sheets>
    <sheet name="Summary" sheetId="12834" r:id="rId1"/>
    <sheet name="Sch.16 Bill Comparisons wRiders" sheetId="12835" r:id="rId2"/>
    <sheet name="Sch.16,17,19" sheetId="12820" r:id="rId3"/>
    <sheet name="Sch.24" sheetId="12821" r:id="rId4"/>
    <sheet name="Sch.29,36" sheetId="12822" r:id="rId5"/>
    <sheet name="Sch.48T" sheetId="12825" r:id="rId6"/>
    <sheet name="Sch.48T-DF" sheetId="12826" r:id="rId7"/>
    <sheet name="Sch.47T" sheetId="12824" r:id="rId8"/>
    <sheet name="Sch.40" sheetId="12823" r:id="rId9"/>
    <sheet name="Sch.15,51,53,54" sheetId="12827" r:id="rId10"/>
    <sheet name="Cost of Service and Proposed $" sheetId="12833" r:id="rId11"/>
    <sheet name="Normalized Units" sheetId="12817" r:id="rId12"/>
    <sheet name="AutoPay&amp;Paperless" sheetId="12831" r:id="rId13"/>
    <sheet name="Unbilled" sheetId="12830" r:id="rId14"/>
    <sheet name="Normalized Summary" sheetId="12818" r:id="rId15"/>
    <sheet name="Sch.24,29,36,40 Customers" sheetId="12816" r:id="rId16"/>
    <sheet name="Sch.40 Bills" sheetId="12819" r:id="rId17"/>
    <sheet name="RVN" sheetId="12811" r:id="rId18"/>
    <sheet name="Code" sheetId="12799" r:id="rId19"/>
    <sheet name="Jan - Mar Monthly 305 Revenue" sheetId="12764" state="hidden" r:id="rId20"/>
    <sheet name="SBC (Old)" sheetId="12761" state="hidden" r:id="rId21"/>
    <sheet name="Hydro Deferral" sheetId="12763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0">[1]Jan!#REF!</definedName>
    <definedName name="\A">#REF!</definedName>
    <definedName name="\B">#REF!</definedName>
    <definedName name="\BACK1" localSheetId="21">#REF!</definedName>
    <definedName name="\BACK1" localSheetId="19">#REF!</definedName>
    <definedName name="\BACK1">#REF!</definedName>
    <definedName name="\BLOCK" localSheetId="21">#REF!</definedName>
    <definedName name="\BLOCK" localSheetId="19">#REF!</definedName>
    <definedName name="\BLOCK">#REF!</definedName>
    <definedName name="\BLOCKT" localSheetId="21">#REF!</definedName>
    <definedName name="\BLOCKT" localSheetId="19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 localSheetId="21">#REF!</definedName>
    <definedName name="\Z" localSheetId="19">#REF!</definedName>
    <definedName name="\Z">#REF!</definedName>
    <definedName name="__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10" hidden="1">{#N/A,#N/A,FALSE,"CRPT";#N/A,#N/A,FALSE,"TREND";#N/A,#N/A,FALSE,"%Curve"}</definedName>
    <definedName name="__________________six6" localSheetId="15" hidden="1">{#N/A,#N/A,FALSE,"CRPT";#N/A,#N/A,FALSE,"TREND";#N/A,#N/A,FALSE,"%Curve"}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0" hidden="1">{#N/A,#N/A,FALSE,"schA"}</definedName>
    <definedName name="__________________www1" localSheetId="15" hidden="1">{#N/A,#N/A,FALSE,"schA"}</definedName>
    <definedName name="__________________www1" localSheetId="0" hidden="1">{#N/A,#N/A,FALSE,"schA"}</definedName>
    <definedName name="__________________www1" hidden="1">{#N/A,#N/A,FALSE,"schA"}</definedName>
    <definedName name="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10" hidden="1">{#N/A,#N/A,FALSE,"CRPT";#N/A,#N/A,FALSE,"TREND";#N/A,#N/A,FALSE,"%Curve"}</definedName>
    <definedName name="_________________six6" localSheetId="15" hidden="1">{#N/A,#N/A,FALSE,"CRPT";#N/A,#N/A,FALSE,"TREND";#N/A,#N/A,FALSE,"%Curve"}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0" hidden="1">{#N/A,#N/A,FALSE,"schA"}</definedName>
    <definedName name="_________________www1" localSheetId="15" hidden="1">{#N/A,#N/A,FALSE,"schA"}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10" hidden="1">{#N/A,#N/A,FALSE,"CRPT";#N/A,#N/A,FALSE,"TREND";#N/A,#N/A,FALSE,"%Curve"}</definedName>
    <definedName name="________________six6" localSheetId="15" hidden="1">{#N/A,#N/A,FALSE,"CRPT";#N/A,#N/A,FALSE,"TREND";#N/A,#N/A,FALSE,"%Curve"}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0" hidden="1">{#N/A,#N/A,FALSE,"schA"}</definedName>
    <definedName name="________________www1" localSheetId="15" hidden="1">{#N/A,#N/A,FALSE,"schA"}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10" hidden="1">{#N/A,#N/A,FALSE,"CRPT";#N/A,#N/A,FALSE,"TREND";#N/A,#N/A,FALSE,"%Curve"}</definedName>
    <definedName name="_______________six6" localSheetId="15" hidden="1">{#N/A,#N/A,FALSE,"CRPT";#N/A,#N/A,FALSE,"TREND";#N/A,#N/A,FALSE,"%Curve"}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0" hidden="1">{#N/A,#N/A,FALSE,"schA"}</definedName>
    <definedName name="_______________www1" localSheetId="15" hidden="1">{#N/A,#N/A,FALSE,"schA"}</definedName>
    <definedName name="_______________www1" localSheetId="0" hidden="1">{#N/A,#N/A,FALSE,"schA"}</definedName>
    <definedName name="_______________www1" hidden="1">{#N/A,#N/A,FALSE,"schA"}</definedName>
    <definedName name="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10" hidden="1">{#N/A,#N/A,FALSE,"CRPT";#N/A,#N/A,FALSE,"TREND";#N/A,#N/A,FALSE,"%Curve"}</definedName>
    <definedName name="______________six6" localSheetId="15" hidden="1">{#N/A,#N/A,FALSE,"CRPT";#N/A,#N/A,FALSE,"TREND";#N/A,#N/A,FALSE,"%Curve"}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0" hidden="1">{#N/A,#N/A,FALSE,"schA"}</definedName>
    <definedName name="______________www1" localSheetId="15" hidden="1">{#N/A,#N/A,FALSE,"schA"}</definedName>
    <definedName name="______________www1" localSheetId="0" hidden="1">{#N/A,#N/A,FALSE,"schA"}</definedName>
    <definedName name="______________www1" hidden="1">{#N/A,#N/A,FALSE,"schA"}</definedName>
    <definedName name="_____________six6" localSheetId="10" hidden="1">{#N/A,#N/A,FALSE,"CRPT";#N/A,#N/A,FALSE,"TREND";#N/A,#N/A,FALSE,"%Curve"}</definedName>
    <definedName name="_____________six6" localSheetId="15" hidden="1">{#N/A,#N/A,FALSE,"CRPT";#N/A,#N/A,FALSE,"TREND";#N/A,#N/A,FALSE,"%Curve"}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0" hidden="1">{#N/A,#N/A,FALSE,"schA"}</definedName>
    <definedName name="_____________www1" localSheetId="15" hidden="1">{#N/A,#N/A,FALSE,"schA"}</definedName>
    <definedName name="_____________www1" localSheetId="0" hidden="1">{#N/A,#N/A,FALSE,"schA"}</definedName>
    <definedName name="_____________www1" hidden="1">{#N/A,#N/A,FALSE,"schA"}</definedName>
    <definedName name="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OM1" localSheetId="15" hidden="1">{#N/A,#N/A,FALSE,"Summary";#N/A,#N/A,FALSE,"SmPlants";#N/A,#N/A,FALSE,"Utah";#N/A,#N/A,FALSE,"Idaho";#N/A,#N/A,FALSE,"Lewis River";#N/A,#N/A,FALSE,"NrthUmpq";#N/A,#N/A,FALSE,"KlamRog"}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10" hidden="1">{#N/A,#N/A,FALSE,"CRPT";#N/A,#N/A,FALSE,"TREND";#N/A,#N/A,FALSE,"%Curve"}</definedName>
    <definedName name="____________six6" localSheetId="15" hidden="1">{#N/A,#N/A,FALSE,"CRPT";#N/A,#N/A,FALSE,"TREND";#N/A,#N/A,FALSE,"%Curve"}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0" hidden="1">{#N/A,#N/A,FALSE,"schA"}</definedName>
    <definedName name="____________www1" localSheetId="15" hidden="1">{#N/A,#N/A,FALSE,"schA"}</definedName>
    <definedName name="____________www1" localSheetId="0" hidden="1">{#N/A,#N/A,FALSE,"schA"}</definedName>
    <definedName name="____________www1" hidden="1">{#N/A,#N/A,FALSE,"schA"}</definedName>
    <definedName name="___________OM1" localSheetId="10" hidden="1">{#N/A,#N/A,FALSE,"Summary";#N/A,#N/A,FALSE,"SmPlants";#N/A,#N/A,FALSE,"Utah";#N/A,#N/A,FALSE,"Idaho";#N/A,#N/A,FALSE,"Lewis River";#N/A,#N/A,FALSE,"NrthUmpq";#N/A,#N/A,FALSE,"KlamRog"}</definedName>
    <definedName name="___________OM1" localSheetId="15" hidden="1">{#N/A,#N/A,FALSE,"Summary";#N/A,#N/A,FALSE,"SmPlants";#N/A,#N/A,FALSE,"Utah";#N/A,#N/A,FALSE,"Idaho";#N/A,#N/A,FALSE,"Lewis River";#N/A,#N/A,FALSE,"NrthUmpq";#N/A,#N/A,FALSE,"KlamRog"}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10" hidden="1">{#N/A,#N/A,FALSE,"CRPT";#N/A,#N/A,FALSE,"TREND";#N/A,#N/A,FALSE,"%Curve"}</definedName>
    <definedName name="___________six6" localSheetId="15" hidden="1">{#N/A,#N/A,FALSE,"CRPT";#N/A,#N/A,FALSE,"TREND";#N/A,#N/A,FALSE,"%Curve"}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0" hidden="1">{#N/A,#N/A,FALSE,"schA"}</definedName>
    <definedName name="___________www1" localSheetId="15" hidden="1">{#N/A,#N/A,FALSE,"schA"}</definedName>
    <definedName name="___________www1" localSheetId="0" hidden="1">{#N/A,#N/A,FALSE,"schA"}</definedName>
    <definedName name="___________www1" hidden="1">{#N/A,#N/A,FALSE,"schA"}</definedName>
    <definedName name="__________six6" localSheetId="10" hidden="1">{#N/A,#N/A,FALSE,"CRPT";#N/A,#N/A,FALSE,"TREND";#N/A,#N/A,FALSE,"%Curve"}</definedName>
    <definedName name="__________six6" localSheetId="15" hidden="1">{#N/A,#N/A,FALSE,"CRPT";#N/A,#N/A,FALSE,"TREND";#N/A,#N/A,FALSE,"%Curve"}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0" hidden="1">{#N/A,#N/A,FALSE,"schA"}</definedName>
    <definedName name="__________www1" localSheetId="15" hidden="1">{#N/A,#N/A,FALSE,"schA"}</definedName>
    <definedName name="__________www1" localSheetId="0" hidden="1">{#N/A,#N/A,FALSE,"schA"}</definedName>
    <definedName name="__________www1" hidden="1">{#N/A,#N/A,FALSE,"schA"}</definedName>
    <definedName name="_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0" hidden="1">{#N/A,#N/A,FALSE,"Summary";#N/A,#N/A,FALSE,"SmPlants";#N/A,#N/A,FALSE,"Utah";#N/A,#N/A,FALSE,"Idaho";#N/A,#N/A,FALSE,"Lewis River";#N/A,#N/A,FALSE,"NrthUmpq";#N/A,#N/A,FALSE,"KlamRog"}</definedName>
    <definedName name="_________OM1" localSheetId="15" hidden="1">{#N/A,#N/A,FALSE,"Summary";#N/A,#N/A,FALSE,"SmPlants";#N/A,#N/A,FALSE,"Utah";#N/A,#N/A,FALSE,"Idaho";#N/A,#N/A,FALSE,"Lewis River";#N/A,#N/A,FALSE,"NrthUmpq";#N/A,#N/A,FALSE,"KlamRog"}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10" hidden="1">{#N/A,#N/A,FALSE,"CRPT";#N/A,#N/A,FALSE,"TREND";#N/A,#N/A,FALSE,"%Curve"}</definedName>
    <definedName name="_________six6" localSheetId="15" hidden="1">{#N/A,#N/A,FALSE,"CRPT";#N/A,#N/A,FALSE,"TREND";#N/A,#N/A,FALSE,"%Curve"}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0" hidden="1">{#N/A,#N/A,FALSE,"schA"}</definedName>
    <definedName name="_________www1" localSheetId="15" hidden="1">{#N/A,#N/A,FALSE,"schA"}</definedName>
    <definedName name="_________www1" localSheetId="0" hidden="1">{#N/A,#N/A,FALSE,"schA"}</definedName>
    <definedName name="_________www1" hidden="1">{#N/A,#N/A,FALSE,"schA"}</definedName>
    <definedName name="_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localSheetId="10" hidden="1">{#N/A,#N/A,FALSE,"CRPT";#N/A,#N/A,FALSE,"TREND";#N/A,#N/A,FALSE,"%Curve"}</definedName>
    <definedName name="________six6" localSheetId="15" hidden="1">{#N/A,#N/A,FALSE,"CRPT";#N/A,#N/A,FALSE,"TREND";#N/A,#N/A,FALSE,"%Curve"}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0" hidden="1">{#N/A,#N/A,FALSE,"schA"}</definedName>
    <definedName name="________www1" localSheetId="15" hidden="1">{#N/A,#N/A,FALSE,"schA"}</definedName>
    <definedName name="________www1" localSheetId="0" hidden="1">{#N/A,#N/A,FALSE,"schA"}</definedName>
    <definedName name="________www1" hidden="1">{#N/A,#N/A,FALSE,"schA"}</definedName>
    <definedName name="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0" hidden="1">{#N/A,#N/A,FALSE,"Summary";#N/A,#N/A,FALSE,"SmPlants";#N/A,#N/A,FALSE,"Utah";#N/A,#N/A,FALSE,"Idaho";#N/A,#N/A,FALSE,"Lewis River";#N/A,#N/A,FALSE,"NrthUmpq";#N/A,#N/A,FALSE,"KlamRog"}</definedName>
    <definedName name="_______OM1" localSheetId="15" hidden="1">{#N/A,#N/A,FALSE,"Summary";#N/A,#N/A,FALSE,"SmPlants";#N/A,#N/A,FALSE,"Utah";#N/A,#N/A,FALSE,"Idaho";#N/A,#N/A,FALSE,"Lewis River";#N/A,#N/A,FALSE,"NrthUmpq";#N/A,#N/A,FALSE,"KlamRog"}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10" hidden="1">{#N/A,#N/A,FALSE,"CRPT";#N/A,#N/A,FALSE,"TREND";#N/A,#N/A,FALSE,"%Curve"}</definedName>
    <definedName name="_______six6" localSheetId="15" hidden="1">{#N/A,#N/A,FALSE,"CRPT";#N/A,#N/A,FALSE,"TREND";#N/A,#N/A,FALSE,"%Curve"}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0" hidden="1">{#N/A,#N/A,FALSE,"schA"}</definedName>
    <definedName name="_______www1" localSheetId="15" hidden="1">{#N/A,#N/A,FALSE,"schA"}</definedName>
    <definedName name="_______www1" localSheetId="0" hidden="1">{#N/A,#N/A,FALSE,"schA"}</definedName>
    <definedName name="_______www1" hidden="1">{#N/A,#N/A,FALSE,"schA"}</definedName>
    <definedName name="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0" hidden="1">{#N/A,#N/A,FALSE,"Summary";#N/A,#N/A,FALSE,"SmPlants";#N/A,#N/A,FALSE,"Utah";#N/A,#N/A,FALSE,"Idaho";#N/A,#N/A,FALSE,"Lewis River";#N/A,#N/A,FALSE,"NrthUmpq";#N/A,#N/A,FALSE,"KlamRog"}</definedName>
    <definedName name="______OM1" localSheetId="15" hidden="1">{#N/A,#N/A,FALSE,"Summary";#N/A,#N/A,FALSE,"SmPlants";#N/A,#N/A,FALSE,"Utah";#N/A,#N/A,FALSE,"Idaho";#N/A,#N/A,FALSE,"Lewis River";#N/A,#N/A,FALSE,"NrthUmpq";#N/A,#N/A,FALSE,"KlamRog"}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10" hidden="1">{#N/A,#N/A,FALSE,"CRPT";#N/A,#N/A,FALSE,"TREND";#N/A,#N/A,FALSE,"%Curve"}</definedName>
    <definedName name="______six6" localSheetId="15" hidden="1">{#N/A,#N/A,FALSE,"CRPT";#N/A,#N/A,FALSE,"TREND";#N/A,#N/A,FALSE,"%Curve"}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0" hidden="1">{#N/A,#N/A,FALSE,"schA"}</definedName>
    <definedName name="______www1" localSheetId="15" hidden="1">{#N/A,#N/A,FALSE,"schA"}</definedName>
    <definedName name="______www1" localSheetId="0" hidden="1">{#N/A,#N/A,FALSE,"schA"}</definedName>
    <definedName name="______www1" hidden="1">{#N/A,#N/A,FALSE,"schA"}</definedName>
    <definedName name="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0" hidden="1">{#N/A,#N/A,FALSE,"Summary";#N/A,#N/A,FALSE,"SmPlants";#N/A,#N/A,FALSE,"Utah";#N/A,#N/A,FALSE,"Idaho";#N/A,#N/A,FALSE,"Lewis River";#N/A,#N/A,FALSE,"NrthUmpq";#N/A,#N/A,FALSE,"KlamRog"}</definedName>
    <definedName name="_____OM1" localSheetId="15" hidden="1">{#N/A,#N/A,FALSE,"Summary";#N/A,#N/A,FALSE,"SmPlants";#N/A,#N/A,FALSE,"Utah";#N/A,#N/A,FALSE,"Idaho";#N/A,#N/A,FALSE,"Lewis River";#N/A,#N/A,FALSE,"NrthUmpq";#N/A,#N/A,FALSE,"KlamRog"}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10" hidden="1">{#N/A,#N/A,FALSE,"CRPT";#N/A,#N/A,FALSE,"TREND";#N/A,#N/A,FALSE,"%Curve"}</definedName>
    <definedName name="_____six6" localSheetId="15" hidden="1">{#N/A,#N/A,FALSE,"CRPT";#N/A,#N/A,FALSE,"TREND";#N/A,#N/A,FALSE,"%Curve"}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0" hidden="1">{#N/A,#N/A,FALSE,"schA"}</definedName>
    <definedName name="_____www1" localSheetId="15" hidden="1">{#N/A,#N/A,FALSE,"schA"}</definedName>
    <definedName name="_____www1" localSheetId="0" hidden="1">{#N/A,#N/A,FALSE,"schA"}</definedName>
    <definedName name="_____www1" hidden="1">{#N/A,#N/A,FALSE,"schA"}</definedName>
    <definedName name="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0" hidden="1">{#N/A,#N/A,FALSE,"Summary";#N/A,#N/A,FALSE,"SmPlants";#N/A,#N/A,FALSE,"Utah";#N/A,#N/A,FALSE,"Idaho";#N/A,#N/A,FALSE,"Lewis River";#N/A,#N/A,FALSE,"NrthUmpq";#N/A,#N/A,FALSE,"KlamRog"}</definedName>
    <definedName name="____OM1" localSheetId="15" hidden="1">{#N/A,#N/A,FALSE,"Summary";#N/A,#N/A,FALSE,"SmPlants";#N/A,#N/A,FALSE,"Utah";#N/A,#N/A,FALSE,"Idaho";#N/A,#N/A,FALSE,"Lewis River";#N/A,#N/A,FALSE,"NrthUmpq";#N/A,#N/A,FALSE,"KlamRog"}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10" hidden="1">{#N/A,#N/A,FALSE,"CRPT";#N/A,#N/A,FALSE,"TREND";#N/A,#N/A,FALSE,"%Curve"}</definedName>
    <definedName name="____six6" localSheetId="15" hidden="1">{#N/A,#N/A,FALSE,"CRPT";#N/A,#N/A,FALSE,"TREND";#N/A,#N/A,FALSE,"%Curve"}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0" hidden="1">{#N/A,#N/A,FALSE,"schA"}</definedName>
    <definedName name="____www1" localSheetId="15" hidden="1">{#N/A,#N/A,FALSE,"schA"}</definedName>
    <definedName name="____www1" localSheetId="0" hidden="1">{#N/A,#N/A,FALSE,"schA"}</definedName>
    <definedName name="____www1" hidden="1">{#N/A,#N/A,FALSE,"schA"}</definedName>
    <definedName name="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0" hidden="1">{#N/A,#N/A,FALSE,"Summary";#N/A,#N/A,FALSE,"SmPlants";#N/A,#N/A,FALSE,"Utah";#N/A,#N/A,FALSE,"Idaho";#N/A,#N/A,FALSE,"Lewis River";#N/A,#N/A,FALSE,"NrthUmpq";#N/A,#N/A,FALSE,"KlamRog"}</definedName>
    <definedName name="___OM1" localSheetId="15" hidden="1">{#N/A,#N/A,FALSE,"Summary";#N/A,#N/A,FALSE,"SmPlants";#N/A,#N/A,FALSE,"Utah";#N/A,#N/A,FALSE,"Idaho";#N/A,#N/A,FALSE,"Lewis River";#N/A,#N/A,FALSE,"NrthUmpq";#N/A,#N/A,FALSE,"KlamRog"}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10" hidden="1">{#N/A,#N/A,FALSE,"CRPT";#N/A,#N/A,FALSE,"TREND";#N/A,#N/A,FALSE,"%Curve"}</definedName>
    <definedName name="___six6" localSheetId="15" hidden="1">{#N/A,#N/A,FALSE,"CRPT";#N/A,#N/A,FALSE,"TREND";#N/A,#N/A,FALSE,"%Curve"}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10" hidden="1">{#N/A,#N/A,FALSE,"schA"}</definedName>
    <definedName name="___www1" localSheetId="15" hidden="1">{#N/A,#N/A,FALSE,"schA"}</definedName>
    <definedName name="___www1" localSheetId="0" hidden="1">{#N/A,#N/A,FALSE,"schA"}</definedName>
    <definedName name="___www1" hidden="1">{#N/A,#N/A,FALSE,"schA"}</definedName>
    <definedName name="__123Graph_A" localSheetId="21" hidden="1">[3]Inputs!#REF!</definedName>
    <definedName name="__123Graph_A" localSheetId="19" hidden="1">[3]Inputs!#REF!</definedName>
    <definedName name="__123Graph_A" hidden="1">[3]Inputs!#REF!</definedName>
    <definedName name="__123Graph_B" localSheetId="21" hidden="1">[3]Inputs!#REF!</definedName>
    <definedName name="__123Graph_B" localSheetId="19" hidden="1">[3]Inputs!#REF!</definedName>
    <definedName name="__123Graph_B" hidden="1">[3]Inputs!#REF!</definedName>
    <definedName name="__123Graph_D" localSheetId="21" hidden="1">[3]Inputs!#REF!</definedName>
    <definedName name="__123Graph_D" localSheetId="19" hidden="1">[3]Inputs!#REF!</definedName>
    <definedName name="__123Graph_D" hidden="1">[3]Inputs!#REF!</definedName>
    <definedName name="__123Graph_E" hidden="1">[4]Input!$E$22:$E$37</definedName>
    <definedName name="__123Graph_ECURRENT" localSheetId="10" hidden="1">[5]ConsolidatingPL!#REF!</definedName>
    <definedName name="__123Graph_ECURRENT" localSheetId="15" hidden="1">[5]ConsolidatingPL!#REF!</definedName>
    <definedName name="__123Graph_ECURRENT" localSheetId="0" hidden="1">[5]ConsolidatingPL!#REF!</definedName>
    <definedName name="__123Graph_ECURRENT" hidden="1">[5]ConsolidatingPL!#REF!</definedName>
    <definedName name="__123Graph_F" hidden="1">[4]Input!$D$22:$D$37</definedName>
    <definedName name="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j1" localSheetId="15" hidden="1">{"PRINT",#N/A,TRUE,"APPA";"PRINT",#N/A,TRUE,"APS";"PRINT",#N/A,TRUE,"BHPL";"PRINT",#N/A,TRUE,"BHPL2";"PRINT",#N/A,TRUE,"CDWR";"PRINT",#N/A,TRUE,"EWEB";"PRINT",#N/A,TRUE,"LADWP";"PRINT",#N/A,TRUE,"NEVBASE"}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j2" localSheetId="15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j3" localSheetId="15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j4" localSheetId="15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j5" localSheetId="15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0" hidden="1">{#N/A,#N/A,FALSE,"Summary";#N/A,#N/A,FALSE,"SmPlants";#N/A,#N/A,FALSE,"Utah";#N/A,#N/A,FALSE,"Idaho";#N/A,#N/A,FALSE,"Lewis River";#N/A,#N/A,FALSE,"NrthUmpq";#N/A,#N/A,FALSE,"KlamRog"}</definedName>
    <definedName name="__OM1" localSheetId="15" hidden="1">{#N/A,#N/A,FALSE,"Summary";#N/A,#N/A,FALSE,"SmPlants";#N/A,#N/A,FALSE,"Utah";#N/A,#N/A,FALSE,"Idaho";#N/A,#N/A,FALSE,"Lewis River";#N/A,#N/A,FALSE,"NrthUmpq";#N/A,#N/A,FALSE,"KlamRog"}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10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10" hidden="1">{#N/A,#N/A,FALSE,"schA"}</definedName>
    <definedName name="__www1" localSheetId="15" hidden="1">{#N/A,#N/A,FALSE,"schA"}</definedName>
    <definedName name="__www1" localSheetId="0" hidden="1">{#N/A,#N/A,FALSE,"schA"}</definedName>
    <definedName name="__www1" hidden="1">{#N/A,#N/A,FALSE,"schA"}</definedName>
    <definedName name="_1Price_Ta" localSheetId="21">#REF!</definedName>
    <definedName name="_1Price_Ta" localSheetId="19">#REF!</definedName>
    <definedName name="_1Price_Ta">#REF!</definedName>
    <definedName name="_2Price_Ta">#REF!</definedName>
    <definedName name="_B" localSheetId="21">'[6]Rate Design'!#REF!</definedName>
    <definedName name="_B" localSheetId="19">'[6]Rate Design'!#REF!</definedName>
    <definedName name="_B">'[7]Rate Design'!#REF!</definedName>
    <definedName name="_ex1" localSheetId="10" hidden="1">{#N/A,#N/A,FALSE,"Summ";#N/A,#N/A,FALSE,"General"}</definedName>
    <definedName name="_ex1" localSheetId="15" hidden="1">{#N/A,#N/A,FALSE,"Summ";#N/A,#N/A,FALSE,"General"}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10" hidden="1">#REF!</definedName>
    <definedName name="_Fill" localSheetId="15" hidden="1">#REF!</definedName>
    <definedName name="_Fill" localSheetId="0" hidden="1">#REF!</definedName>
    <definedName name="_Fill" hidden="1">#REF!</definedName>
    <definedName name="_xlnm._FilterDatabase" localSheetId="18" hidden="1">Code!$A$1:$B$79</definedName>
    <definedName name="_xlnm._FilterDatabase" localSheetId="10" hidden="1">#REF!</definedName>
    <definedName name="_xlnm._FilterDatabase" localSheetId="19" hidden="1">'Jan - Mar Monthly 305 Revenue'!$A$6:$D$110</definedName>
    <definedName name="_xlnm._FilterDatabase" localSheetId="17" hidden="1">RVN!$A$2:$J$151</definedName>
    <definedName name="_xlnm._FilterDatabase" localSheetId="15" hidden="1">#REF!</definedName>
    <definedName name="_xlnm._FilterDatabase" localSheetId="0" hidden="1">#REF!</definedName>
    <definedName name="_xlnm._FilterDatabase" hidden="1">#REF!</definedName>
    <definedName name="_j1" localSheetId="10" hidden="1">{"PRINT",#N/A,TRUE,"APPA";"PRINT",#N/A,TRUE,"APS";"PRINT",#N/A,TRUE,"BHPL";"PRINT",#N/A,TRUE,"BHPL2";"PRINT",#N/A,TRUE,"CDWR";"PRINT",#N/A,TRUE,"EWEB";"PRINT",#N/A,TRUE,"LADWP";"PRINT",#N/A,TRUE,"NEVBASE"}</definedName>
    <definedName name="_j1" localSheetId="15" hidden="1">{"PRINT",#N/A,TRUE,"APPA";"PRINT",#N/A,TRUE,"APS";"PRINT",#N/A,TRUE,"BHPL";"PRINT",#N/A,TRUE,"BHPL2";"PRINT",#N/A,TRUE,"CDWR";"PRINT",#N/A,TRUE,"EWEB";"PRINT",#N/A,TRUE,"LADWP";"PRINT",#N/A,TRUE,"NEVBASE"}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0" hidden="1">{"PRINT",#N/A,TRUE,"APPA";"PRINT",#N/A,TRUE,"APS";"PRINT",#N/A,TRUE,"BHPL";"PRINT",#N/A,TRUE,"BHPL2";"PRINT",#N/A,TRUE,"CDWR";"PRINT",#N/A,TRUE,"EWEB";"PRINT",#N/A,TRUE,"LADWP";"PRINT",#N/A,TRUE,"NEVBASE"}</definedName>
    <definedName name="_j2" localSheetId="15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0" hidden="1">{"PRINT",#N/A,TRUE,"APPA";"PRINT",#N/A,TRUE,"APS";"PRINT",#N/A,TRUE,"BHPL";"PRINT",#N/A,TRUE,"BHPL2";"PRINT",#N/A,TRUE,"CDWR";"PRINT",#N/A,TRUE,"EWEB";"PRINT",#N/A,TRUE,"LADWP";"PRINT",#N/A,TRUE,"NEVBASE"}</definedName>
    <definedName name="_j3" localSheetId="15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0" hidden="1">{"PRINT",#N/A,TRUE,"APPA";"PRINT",#N/A,TRUE,"APS";"PRINT",#N/A,TRUE,"BHPL";"PRINT",#N/A,TRUE,"BHPL2";"PRINT",#N/A,TRUE,"CDWR";"PRINT",#N/A,TRUE,"EWEB";"PRINT",#N/A,TRUE,"LADWP";"PRINT",#N/A,TRUE,"NEVBASE"}</definedName>
    <definedName name="_j4" localSheetId="15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0" hidden="1">{"PRINT",#N/A,TRUE,"APPA";"PRINT",#N/A,TRUE,"APS";"PRINT",#N/A,TRUE,"BHPL";"PRINT",#N/A,TRUE,"BHPL2";"PRINT",#N/A,TRUE,"CDWR";"PRINT",#N/A,TRUE,"EWEB";"PRINT",#N/A,TRUE,"LADWP";"PRINT",#N/A,TRUE,"NEVBASE"}</definedName>
    <definedName name="_j5" localSheetId="15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10" hidden="1">#REF!</definedName>
    <definedName name="_Key1" localSheetId="21" hidden="1">#REF!</definedName>
    <definedName name="_Key1" localSheetId="19" hidden="1">#REF!</definedName>
    <definedName name="_Key1" localSheetId="15" hidden="1">#REF!</definedName>
    <definedName name="_Key1" localSheetId="0" hidden="1">#REF!</definedName>
    <definedName name="_Key1" hidden="1">#REF!</definedName>
    <definedName name="_Key2" localSheetId="10" hidden="1">#REF!</definedName>
    <definedName name="_Key2" localSheetId="21" hidden="1">#REF!</definedName>
    <definedName name="_Key2" localSheetId="19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new1" localSheetId="10" hidden="1">{#N/A,#N/A,FALSE,"Summ";#N/A,#N/A,FALSE,"General"}</definedName>
    <definedName name="_new1" localSheetId="15" hidden="1">{#N/A,#N/A,FALSE,"Summ";#N/A,#N/A,FALSE,"General"}</definedName>
    <definedName name="_new1" localSheetId="0" hidden="1">{#N/A,#N/A,FALSE,"Summ";#N/A,#N/A,FALSE,"General"}</definedName>
    <definedName name="_new1" hidden="1">{#N/A,#N/A,FALSE,"Summ";#N/A,#N/A,FALSE,"General"}</definedName>
    <definedName name="_OM1" localSheetId="10" hidden="1">{#N/A,#N/A,FALSE,"Summary";#N/A,#N/A,FALSE,"SmPlants";#N/A,#N/A,FALSE,"Utah";#N/A,#N/A,FALSE,"Idaho";#N/A,#N/A,FALSE,"Lewis River";#N/A,#N/A,FALSE,"NrthUmpq";#N/A,#N/A,FALSE,"KlamRog"}</definedName>
    <definedName name="_OM1" localSheetId="15" hidden="1">{#N/A,#N/A,FALSE,"Summary";#N/A,#N/A,FALSE,"SmPlants";#N/A,#N/A,FALSE,"Utah";#N/A,#N/A,FALSE,"Idaho";#N/A,#N/A,FALSE,"Lewis River";#N/A,#N/A,FALSE,"NrthUmpq";#N/A,#N/A,FALSE,"KlamRog"}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P" localSheetId="21">#REF!</definedName>
    <definedName name="_P" localSheetId="19">#REF!</definedName>
    <definedName name="_P">#REF!</definedName>
    <definedName name="_Regression_Int" hidden="1">1</definedName>
    <definedName name="_Regression_Out" localSheetId="10" hidden="1">#REF!</definedName>
    <definedName name="_Regression_Out" localSheetId="0" hidden="1">#REF!</definedName>
    <definedName name="_Regression_Out" hidden="1">#REF!</definedName>
    <definedName name="_Regression_X" localSheetId="10" hidden="1">#REF!</definedName>
    <definedName name="_Regression_X" localSheetId="0" hidden="1">#REF!</definedName>
    <definedName name="_Regression_X" hidden="1">#REF!</definedName>
    <definedName name="_Regression_Y" localSheetId="10" hidden="1">#REF!</definedName>
    <definedName name="_Regression_Y" localSheetId="0" hidden="1">#REF!</definedName>
    <definedName name="_Regression_Y" hidden="1">#REF!</definedName>
    <definedName name="_six6" localSheetId="10" hidden="1">{#N/A,#N/A,FALSE,"CRPT";#N/A,#N/A,FALSE,"TREND";#N/A,#N/A,FALSE,"%Curve"}</definedName>
    <definedName name="_six6" localSheetId="15" hidden="1">{#N/A,#N/A,FALSE,"CRPT";#N/A,#N/A,FALSE,"TREND";#N/A,#N/A,FALSE,"%Curve"}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10" hidden="1">#REF!</definedName>
    <definedName name="_Sort" localSheetId="21" hidden="1">#REF!</definedName>
    <definedName name="_Sort" localSheetId="19" hidden="1">#REF!</definedName>
    <definedName name="_Sort" localSheetId="15" hidden="1">#REF!</definedName>
    <definedName name="_Sort" localSheetId="0" hidden="1">#REF!</definedName>
    <definedName name="_Sort" hidden="1">#REF!</definedName>
    <definedName name="_TOP1">[1]Jan!#REF!</definedName>
    <definedName name="_www1" localSheetId="10" hidden="1">{#N/A,#N/A,FALSE,"schA"}</definedName>
    <definedName name="_www1" localSheetId="15" hidden="1">{#N/A,#N/A,FALSE,"schA"}</definedName>
    <definedName name="_www1" localSheetId="0" hidden="1">{#N/A,#N/A,FALSE,"schA"}</definedName>
    <definedName name="_www1" hidden="1">{#N/A,#N/A,FALSE,"schA"}</definedName>
    <definedName name="_x1" localSheetId="10" hidden="1">{"PRINT",#N/A,TRUE,"APPA";"PRINT",#N/A,TRUE,"APS";"PRINT",#N/A,TRUE,"BHPL";"PRINT",#N/A,TRUE,"BHPL2";"PRINT",#N/A,TRUE,"CDWR";"PRINT",#N/A,TRUE,"EWEB";"PRINT",#N/A,TRUE,"LADWP";"PRINT",#N/A,TRUE,"NEVBASE"}</definedName>
    <definedName name="_x1" localSheetId="15" hidden="1">{"PRINT",#N/A,TRUE,"APPA";"PRINT",#N/A,TRUE,"APS";"PRINT",#N/A,TRUE,"BHPL";"PRINT",#N/A,TRUE,"BHPL2";"PRINT",#N/A,TRUE,"CDWR";"PRINT",#N/A,TRUE,"EWEB";"PRINT",#N/A,TRUE,"LADWP";"PRINT",#N/A,TRUE,"NEVBASE"}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10" hidden="1">{"PRINT",#N/A,TRUE,"APPA";"PRINT",#N/A,TRUE,"APS";"PRINT",#N/A,TRUE,"BHPL";"PRINT",#N/A,TRUE,"BHPL2";"PRINT",#N/A,TRUE,"CDWR";"PRINT",#N/A,TRUE,"EWEB";"PRINT",#N/A,TRUE,"LADWP";"PRINT",#N/A,TRUE,"NEVBASE"}</definedName>
    <definedName name="_x2" localSheetId="15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10" hidden="1">{"PRINT",#N/A,TRUE,"APPA";"PRINT",#N/A,TRUE,"APS";"PRINT",#N/A,TRUE,"BHPL";"PRINT",#N/A,TRUE,"BHPL2";"PRINT",#N/A,TRUE,"CDWR";"PRINT",#N/A,TRUE,"EWEB";"PRINT",#N/A,TRUE,"LADWP";"PRINT",#N/A,TRUE,"NEVBASE"}</definedName>
    <definedName name="_x3" localSheetId="15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10" hidden="1">{"PRINT",#N/A,TRUE,"APPA";"PRINT",#N/A,TRUE,"APS";"PRINT",#N/A,TRUE,"BHPL";"PRINT",#N/A,TRUE,"BHPL2";"PRINT",#N/A,TRUE,"CDWR";"PRINT",#N/A,TRUE,"EWEB";"PRINT",#N/A,TRUE,"LADWP";"PRINT",#N/A,TRUE,"NEVBASE"}</definedName>
    <definedName name="_x4" localSheetId="15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10" hidden="1">{"PRINT",#N/A,TRUE,"APPA";"PRINT",#N/A,TRUE,"APS";"PRINT",#N/A,TRUE,"BHPL";"PRINT",#N/A,TRUE,"BHPL2";"PRINT",#N/A,TRUE,"CDWR";"PRINT",#N/A,TRUE,"EWEB";"PRINT",#N/A,TRUE,"LADWP";"PRINT",#N/A,TRUE,"NEVBASE"}</definedName>
    <definedName name="_x5" localSheetId="15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5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>'[8]Func Study'!#REF!</definedName>
    <definedName name="Acct108364S">'[8]Func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>'[11]Functional Study'!#REF!</definedName>
    <definedName name="Acct41011BADDEBT">'[11]Functional Study'!#REF!</definedName>
    <definedName name="Acct41011DITEXP">'[11]Functional Study'!#REF!</definedName>
    <definedName name="Acct41011S">'[11]Functional Study'!#REF!</definedName>
    <definedName name="Acct41011SE">'[11]Functional Study'!#REF!</definedName>
    <definedName name="Acct41011SG1">'[11]Functional Study'!#REF!</definedName>
    <definedName name="Acct41011SG2">'[11]Functional Study'!#REF!</definedName>
    <definedName name="ACCT41011SGCT">'[11]Functional Study'!#REF!</definedName>
    <definedName name="Acct41011SGPP">'[11]Functional Study'!#REF!</definedName>
    <definedName name="Acct41011SNP">'[11]Functional Study'!#REF!</definedName>
    <definedName name="ACCT41011SNPD">'[11]Functional Study'!#REF!</definedName>
    <definedName name="Acct41011SO">'[11]Functional Study'!#REF!</definedName>
    <definedName name="Acct41011TROJP">'[11]Functional Study'!#REF!</definedName>
    <definedName name="Acct41111">'[11]Functional Study'!#REF!</definedName>
    <definedName name="Acct41111BADDEBT">'[11]Functional Study'!#REF!</definedName>
    <definedName name="Acct41111DITEXP">'[11]Functional Study'!#REF!</definedName>
    <definedName name="Acct41111S">'[11]Functional Study'!#REF!</definedName>
    <definedName name="Acct41111SE">'[11]Functional Study'!#REF!</definedName>
    <definedName name="Acct41111SG1">'[11]Functional Study'!#REF!</definedName>
    <definedName name="Acct41111SG2">'[11]Functional Study'!#REF!</definedName>
    <definedName name="Acct41111SG3">'[11]Functional Study'!#REF!</definedName>
    <definedName name="Acct41111SGPP">'[11]Functional Study'!#REF!</definedName>
    <definedName name="Acct41111SNP">'[11]Functional Study'!#REF!</definedName>
    <definedName name="Acct41111SNTP">'[11]Functional Study'!#REF!</definedName>
    <definedName name="Acct41111SO">'[11]Functional Study'!#REF!</definedName>
    <definedName name="Acct41111TROJP">'[11]Functional Study'!#REF!</definedName>
    <definedName name="Acct411BADDEBT">'[11]Functional Study'!#REF!</definedName>
    <definedName name="Acct411DGP">'[11]Functional Study'!#REF!</definedName>
    <definedName name="Acct411DGU">'[11]Functional Study'!#REF!</definedName>
    <definedName name="Acct411DITEXP">'[11]Functional Study'!#REF!</definedName>
    <definedName name="Acct411DNPP">'[11]Functional Study'!#REF!</definedName>
    <definedName name="Acct411DNPTP">'[11]Functional Study'!#REF!</definedName>
    <definedName name="Acct411S">'[11]Functional Study'!#REF!</definedName>
    <definedName name="Acct411SE">'[11]Functional Study'!#REF!</definedName>
    <definedName name="Acct411SG">'[11]Functional Study'!#REF!</definedName>
    <definedName name="Acct411SGPP">'[11]Functional Study'!#REF!</definedName>
    <definedName name="Acct411SO">'[11]Functional Study'!#REF!</definedName>
    <definedName name="Acct411TROJP">'[11]Functional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>'[10]Func Study'!#REF!</definedName>
    <definedName name="Acct510DNPPSU">'[10]Func Study'!#REF!</definedName>
    <definedName name="ACCT510JBG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>'[12]Functional Study'!#REF!</definedName>
    <definedName name="AcctAGA">'[10]Func Study'!$H$296</definedName>
    <definedName name="AcctDFAD">'[10]Func Study'!#REF!</definedName>
    <definedName name="AcctDFAP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djustInput">[15]Inputs!$L$3:$T$998</definedName>
    <definedName name="AdjustSwitch">[15]Variables!$AG$3:$AI$3</definedName>
    <definedName name="anscount" hidden="1">1</definedName>
    <definedName name="APR" localSheetId="21">[16]Backup!#REF!</definedName>
    <definedName name="APR" localSheetId="19">[16]Backup!#REF!</definedName>
    <definedName name="APR">[16]Backup!#REF!</definedName>
    <definedName name="APRT" localSheetId="21">#REF!</definedName>
    <definedName name="APRT" localSheetId="19">#REF!</definedName>
    <definedName name="APRT">#REF!</definedName>
    <definedName name="AS2DocOpenMode" hidden="1">"AS2DocumentEdit"</definedName>
    <definedName name="asa" localSheetId="10" hidden="1">{"Factors Pages 1-2",#N/A,FALSE,"Factors";"Factors Page 3",#N/A,FALSE,"Factors";"Factors Page 4",#N/A,FALSE,"Factors";"Factors Page 5",#N/A,FALSE,"Factors";"Factors Pages 8-27",#N/A,FALSE,"Factors"}</definedName>
    <definedName name="asa" localSheetId="15" hidden="1">{"Factors Pages 1-2",#N/A,FALSE,"Factors";"Factors Page 3",#N/A,FALSE,"Factors";"Factors Page 4",#N/A,FALSE,"Factors";"Factors Page 5",#N/A,FALSE,"Factors";"Factors Pages 8-27",#N/A,FALSE,"Factors"}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 localSheetId="21">[16]Backup!#REF!</definedName>
    <definedName name="AUG" localSheetId="19">[16]Backup!#REF!</definedName>
    <definedName name="AUG">[16]Backup!#REF!</definedName>
    <definedName name="AUGT" localSheetId="21">#REF!</definedName>
    <definedName name="AUGT" localSheetId="19">#REF!</definedName>
    <definedName name="AUGT">#REF!</definedName>
    <definedName name="AverageFactors">[15]UTCR!$AC$22:$AQ$108</definedName>
    <definedName name="AverageInput">[15]Inputs!$F$3:$I$1719</definedName>
    <definedName name="AvgFactors">[13]Factors!$B$3:$P$99</definedName>
    <definedName name="b" localSheetId="10" hidden="1">{#N/A,#N/A,FALSE,"Coversheet";#N/A,#N/A,FALSE,"QA"}</definedName>
    <definedName name="b" localSheetId="15" hidden="1">{#N/A,#N/A,FALSE,"Coversheet";#N/A,#N/A,FALSE,"QA"}</definedName>
    <definedName name="b" localSheetId="0" hidden="1">{#N/A,#N/A,FALSE,"Coversheet";#N/A,#N/A,FALSE,"QA"}</definedName>
    <definedName name="b" hidden="1">{#N/A,#N/A,FALSE,"Coversheet";#N/A,#N/A,FALSE,"QA"}</definedName>
    <definedName name="BACK1" localSheetId="21">#REF!</definedName>
    <definedName name="BACK1" localSheetId="19">#REF!</definedName>
    <definedName name="BACK1">#REF!</definedName>
    <definedName name="BACK2" localSheetId="21">#REF!</definedName>
    <definedName name="BACK2" localSheetId="19">#REF!</definedName>
    <definedName name="BACK2">#REF!</definedName>
    <definedName name="BACK3" localSheetId="21">#REF!</definedName>
    <definedName name="BACK3" localSheetId="19">#REF!</definedName>
    <definedName name="BACK3">#REF!</definedName>
    <definedName name="BACKUP1">#REF!</definedName>
    <definedName name="BEx0017DGUEDPCFJUPUZOOLJCS2B" localSheetId="10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0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10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10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10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10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1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10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10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10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10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10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10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10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10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10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10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1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10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10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10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10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10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10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10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10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10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10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10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10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10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10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10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10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10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10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10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10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10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10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10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10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10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10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10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10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10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10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10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10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10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10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10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10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10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10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10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10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10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10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10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10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10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10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10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10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10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10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10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10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10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10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10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10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10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10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10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10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10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10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10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10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10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10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1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10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10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10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10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10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10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10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10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10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10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10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10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10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10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10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10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10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10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10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10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10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10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10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10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10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10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10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10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10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10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10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10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10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10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10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10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10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10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10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10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10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10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10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10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10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10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10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10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10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10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10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10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10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10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10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10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10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10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10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10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10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10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10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10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10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10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10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10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10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10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10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10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10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10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10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10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10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10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10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10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10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10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10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10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10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10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10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10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10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10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10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10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10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10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10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10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10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10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10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10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10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10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10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10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10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10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10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10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10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10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10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10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10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10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10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10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10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10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10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10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10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10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10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10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10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10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10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10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10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10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10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10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10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10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10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10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10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10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10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10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10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10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10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10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10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10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10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10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10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10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10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10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10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10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10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10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10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10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10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10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10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10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10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10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10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10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10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10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0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10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10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10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10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10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10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10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10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10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10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10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10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10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10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10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10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10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10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10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10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10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10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10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10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10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10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10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10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10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10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10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10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10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10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10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10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1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10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10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10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10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10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10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10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10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10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10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10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10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10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10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10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10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10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10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10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10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10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10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10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10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10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10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10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10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10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10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10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10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10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10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10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10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10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10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10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10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1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10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10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10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10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10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10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10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10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10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10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10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10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10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10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10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10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10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10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10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10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10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10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10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10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10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10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10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10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10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10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10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10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10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10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10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10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10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10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10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10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10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10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10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10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10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10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10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10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10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10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10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10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10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10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10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10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10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10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10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10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10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10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10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10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10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10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10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10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10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10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10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10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10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10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10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10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10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10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10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10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10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10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10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10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10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10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10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10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10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10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10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10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10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10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10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10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10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10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10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0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10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10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10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10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10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10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10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10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10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10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10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10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10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10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10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10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10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10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10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10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10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10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10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10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10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10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10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10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10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10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10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10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10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10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10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10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10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10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10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10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10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10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1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10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10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10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10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10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10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10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10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10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10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10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10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10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10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10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10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10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10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10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10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10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10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10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10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10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10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10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10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10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10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10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10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10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10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10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10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10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10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10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10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10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10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10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10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10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10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10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10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10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10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10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10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10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10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10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10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10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10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10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10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10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10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10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10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10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10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10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10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10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10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10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10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10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10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10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10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10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10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10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10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10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10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10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10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10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10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10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10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10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10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10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1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10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10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10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10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10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10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10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10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10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10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10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10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10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10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10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10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10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10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10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10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10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10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10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10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10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10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10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10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10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10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10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10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1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10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10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10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10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10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10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10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10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10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10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10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10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10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10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10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10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10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10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10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10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10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10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10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10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10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10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10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10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10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1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10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10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10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10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10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10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10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10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10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10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10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10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10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10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10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10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10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10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10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10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10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10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10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10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10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10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10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10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10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10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10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1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10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10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10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10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10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10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10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10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10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10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10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10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10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10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10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10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10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10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10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10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10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1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10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10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10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10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10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10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10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10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10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10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10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10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10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10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10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10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10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10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10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10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10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10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10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10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10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10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10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10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10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10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10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10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10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10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10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10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1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10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10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10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10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10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10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10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10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10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10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10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10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10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10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10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10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10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10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10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10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10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10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10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10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10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10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10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10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10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10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10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10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10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10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10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10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10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10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10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10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10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10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10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10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10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10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10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10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10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10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10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10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10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10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10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10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10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10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10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10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10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10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10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10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10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10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10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10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10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10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10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10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10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10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10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10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10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10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10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10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10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10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10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10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10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10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10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10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10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10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10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10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10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10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10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10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10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10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10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10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10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10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10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10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10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10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10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10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10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10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10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10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10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10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10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10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10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1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10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10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10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10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10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10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10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10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10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10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10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1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10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10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10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10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10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10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10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10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10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10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10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10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10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10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10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10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10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10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10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10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10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10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10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10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10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10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10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10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10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10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10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10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10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10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10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10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10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10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10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10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10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10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10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10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10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10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10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10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10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10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10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10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10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10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10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10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10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10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10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10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10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10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10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10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10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10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10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10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10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10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10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10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10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10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10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10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10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10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10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10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10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10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10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10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10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10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10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10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10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10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10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10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10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10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10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10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10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10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10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10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10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10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10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10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10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10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10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10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10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10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10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10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10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10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10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10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10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10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10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10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10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10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10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10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10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10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10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10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10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10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10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10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10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10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10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10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10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10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10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10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10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10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10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10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10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10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10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10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10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10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10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10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10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10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10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10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10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10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10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10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10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10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10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10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10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10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1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10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10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10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10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10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10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10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10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10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10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10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10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1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10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10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10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10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10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10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10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10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10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10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10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10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10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10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10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10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10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0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10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10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10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10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10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10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10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10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10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10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10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10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10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10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10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10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10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10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10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10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10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10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10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10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10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10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10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1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10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10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10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10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10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10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10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10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10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10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10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10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10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1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10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10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10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10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10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10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10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10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10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10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10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10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10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10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10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10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10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10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10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10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10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10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10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10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10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10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10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10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10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10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10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10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10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10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10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10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10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10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10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10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10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10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10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10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10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10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10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10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10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10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10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10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10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10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10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10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10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10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10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10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10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10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10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10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10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10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10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10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10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10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10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10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1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10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10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10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10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10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10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10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10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10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10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10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10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10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1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10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10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10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10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10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10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10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10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10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10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10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10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10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10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10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10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10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10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10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10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10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10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10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10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10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10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10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10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10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10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10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10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10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10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10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10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10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10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10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10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10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10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10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10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10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10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10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10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10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10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10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10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10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10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10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10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10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10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10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10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10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10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10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10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10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10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10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10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10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10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10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10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10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10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10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10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10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10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10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10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10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10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10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10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10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10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10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10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10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10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10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10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10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10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10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10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10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10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10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10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10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10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10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10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1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10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10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10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10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10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10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10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10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10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10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10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10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10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10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10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10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10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10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10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10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10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10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10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10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10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10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10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10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10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10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10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10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10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10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10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10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10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10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10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10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10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10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10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10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1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10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10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10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10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10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10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10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10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10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10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10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10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10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10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10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10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10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10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10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10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10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10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10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10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10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10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10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10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10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10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10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10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10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10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10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10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10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10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10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10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10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10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10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10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10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10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10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10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10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10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1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10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10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10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10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10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10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10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10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10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10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10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10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10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10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10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10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10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10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10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10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10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10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10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10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10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10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10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10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10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10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10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10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10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10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10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10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10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10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10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10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10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10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10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10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10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10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1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10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10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10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10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10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10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10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1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10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10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10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10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10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10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10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10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10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10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10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10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1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10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10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10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10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10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10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10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10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10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10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10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10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10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10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10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10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10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10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10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10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10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1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10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10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10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10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10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10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10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10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10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10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10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10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10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10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10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10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10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10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10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10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10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10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10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10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10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10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10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10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10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10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1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10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10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10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10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10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10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10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10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10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10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10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10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10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10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10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10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10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10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10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10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10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10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10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10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10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10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10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10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10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10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10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10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10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10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10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10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10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10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10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10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10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1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10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10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10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10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10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10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10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10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10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10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1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10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10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10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10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10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10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10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10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10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10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10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10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10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10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10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10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10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10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10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10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10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10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10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10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10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10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10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10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10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10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10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10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10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10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10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10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10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1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10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10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1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10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10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10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10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10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10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10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10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10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10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10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10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10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10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10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10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10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10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10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10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10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1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10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10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10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10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10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10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10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10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10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10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10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10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10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10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10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10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10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10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10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10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10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10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1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10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10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10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10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10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0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10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10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10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10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10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10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1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10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10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10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10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10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10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10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10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10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10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10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10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10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10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10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10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10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10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10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10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10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10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10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10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10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10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10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10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10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10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10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10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10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10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10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10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10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10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10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10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10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10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10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10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10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10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10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10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10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10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10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10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1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10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10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10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10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10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10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10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10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10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10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10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10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10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10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10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10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10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10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10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10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10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10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10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10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10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10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10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10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10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10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10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10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10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10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10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10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10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10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10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10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10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10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1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10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10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10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10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10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10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10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10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10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10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10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10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10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10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10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10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10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10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10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10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10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10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10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10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10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10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10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10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10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1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10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10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10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10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10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10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10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10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10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10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10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10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10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10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10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10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10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10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10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10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10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10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10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10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10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10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10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10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10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10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10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10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10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10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10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10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10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10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10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10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10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10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10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10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10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10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10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10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10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10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10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10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10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10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10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10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10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10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10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10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10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10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10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10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10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10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10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10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10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10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10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10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10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10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10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10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10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10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10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10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10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10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10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10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10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10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10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10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10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10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10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10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10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10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10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10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10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10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10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10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10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10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10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10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10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10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10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10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10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10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10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10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10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10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10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10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10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10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10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10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1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10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10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10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10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10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10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1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10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10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10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10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10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10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10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10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10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10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10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10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10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10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10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10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10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10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10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10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10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10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10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10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10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10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10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10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10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10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1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10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10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10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10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10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10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10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10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10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10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10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10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1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10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10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10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10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10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10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10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10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10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10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10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10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10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10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10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10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10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10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10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0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10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10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10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10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10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10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10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10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10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10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10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10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10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10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10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10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10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10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10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10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10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10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10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1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10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1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10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10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10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10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10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10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10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10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10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10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10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10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10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10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10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10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10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10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10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10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10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10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10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10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10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10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10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10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10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10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1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10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10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10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10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10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10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10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10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10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10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10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10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10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10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10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10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10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10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10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10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10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10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10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10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10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10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10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10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10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10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10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10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10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10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10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10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10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10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10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10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10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10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10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10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10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10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10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10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10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10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10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10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10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10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10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10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10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10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10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10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10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10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10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10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10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10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10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10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10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10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1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10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10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10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10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10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10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10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10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10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10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10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10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10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10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10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10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10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10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10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10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10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10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10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10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10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10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10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10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10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10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10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10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10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10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10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10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10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10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10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10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10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10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10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10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10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10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10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1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10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10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10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10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10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10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10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10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10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10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10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10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10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10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10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10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10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10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10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10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10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10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10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10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10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10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10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10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10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10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10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10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10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10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10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10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10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10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10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10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10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10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10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10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10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10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10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10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10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10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10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10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10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10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10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10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10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10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10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10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10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10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10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10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10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10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10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10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0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10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10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10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10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10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10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10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10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10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10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10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10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10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10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10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10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10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10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10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10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10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10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10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10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10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10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10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10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10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10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10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10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10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10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10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10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10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1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10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10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10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10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10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10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10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10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10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10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10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1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10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10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10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10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10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10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10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1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10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10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10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10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10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10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10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10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10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10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10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10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10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10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10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10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10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10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10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10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10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10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10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10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10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10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10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10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10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10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10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10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10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10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1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10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10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10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10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10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10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10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10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10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10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10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1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10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10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10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1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10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10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10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10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10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10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10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10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10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10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10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10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10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10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10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10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10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10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10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10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10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10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10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10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10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10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10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10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10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10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10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10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10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10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10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10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10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10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10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10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1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10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10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10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10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10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10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10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10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10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10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10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10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10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10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10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10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10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10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10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10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10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10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10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10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10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10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10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10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10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10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10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10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10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10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10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10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10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10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10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10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10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10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10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1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10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10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10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10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10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10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10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10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10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10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10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10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10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10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10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10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10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10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10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10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10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10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10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10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10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10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10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10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10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10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10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10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10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10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10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10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10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10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10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10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10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10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10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10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10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10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10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10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10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10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10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10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10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10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10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10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1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10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10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10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10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10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10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10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10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10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10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10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10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10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10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10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10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10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10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10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1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10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10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10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10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10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10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10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10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10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10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10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10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10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10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10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10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10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10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10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10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10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10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10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10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10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10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10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10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10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10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10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10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10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10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10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10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10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10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10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10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10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10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10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10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10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10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10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10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10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10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10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10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10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10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10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10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10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10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10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10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10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10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10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10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1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10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10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10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10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10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10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10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10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10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10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10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10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10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10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10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10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10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10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10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10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10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10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10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10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10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10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10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10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10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10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10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10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10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10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10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10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10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10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10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10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10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10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10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10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10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10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10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10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10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10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10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10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10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10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10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10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10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10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10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1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10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10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10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10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10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10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10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10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10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10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10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10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10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10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10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10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10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10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10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10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10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10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10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10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10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10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10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10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10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10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10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10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10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10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10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10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10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10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10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10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10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1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10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10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10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10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10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10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10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10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10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10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10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10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10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10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10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10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10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1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10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10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10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10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10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10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10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10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10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10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10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10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10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10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10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10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10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10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10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10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10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10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10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10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10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10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10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10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10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10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10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10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10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10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10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10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10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10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10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10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10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10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10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10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10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10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10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10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10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10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10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10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10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10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10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10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10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10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10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10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10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1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10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10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10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10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10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10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10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10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10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10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10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10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10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10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10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10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10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10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10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10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10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10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10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10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10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10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10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10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10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10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10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10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10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10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10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10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10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10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10" hidden="1">#REF!</definedName>
    <definedName name="BExZZZEMIIFKMLLV4DJKX5TB9R5V" localSheetId="0" hidden="1">#REF!</definedName>
    <definedName name="BExZZZEMIIFKMLLV4DJKX5TB9R5V" hidden="1">#REF!</definedName>
    <definedName name="BOOKADJ">#REF!</definedName>
    <definedName name="Camas" localSheetId="10" hidden="1">{#N/A,#N/A,FALSE,"Summary";#N/A,#N/A,FALSE,"SmPlants";#N/A,#N/A,FALSE,"Utah";#N/A,#N/A,FALSE,"Idaho";#N/A,#N/A,FALSE,"Lewis River";#N/A,#N/A,FALSE,"NrthUmpq";#N/A,#N/A,FALSE,"KlamRog"}</definedName>
    <definedName name="Camas" localSheetId="15" hidden="1">{#N/A,#N/A,FALSE,"Summary";#N/A,#N/A,FALSE,"SmPlants";#N/A,#N/A,FALSE,"Utah";#N/A,#N/A,FALSE,"Idaho";#N/A,#N/A,FALSE,"Lewis River";#N/A,#N/A,FALSE,"NrthUmpq";#N/A,#N/A,FALSE,"KlamRog"}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p">[17]Readings!$B$2</definedName>
    <definedName name="CBWorkbookPriority" hidden="1">-2060790043</definedName>
    <definedName name="cgf" localSheetId="10" hidden="1">{"PRINT",#N/A,TRUE,"APPA";"PRINT",#N/A,TRUE,"APS";"PRINT",#N/A,TRUE,"BHPL";"PRINT",#N/A,TRUE,"BHPL2";"PRINT",#N/A,TRUE,"CDWR";"PRINT",#N/A,TRUE,"EWEB";"PRINT",#N/A,TRUE,"LADWP";"PRINT",#N/A,TRUE,"NEVBASE"}</definedName>
    <definedName name="cgf" localSheetId="15" hidden="1">{"PRINT",#N/A,TRUE,"APPA";"PRINT",#N/A,TRUE,"APS";"PRINT",#N/A,TRUE,"BHPL";"PRINT",#N/A,TRUE,"BHPL2";"PRINT",#N/A,TRUE,"CDWR";"PRINT",#N/A,TRUE,"EWEB";"PRINT",#N/A,TRUE,"LADWP";"PRINT",#N/A,TRUE,"NEVBASE"}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hecksumavg">[15]Inputs!$J$1</definedName>
    <definedName name="Classification">'[10]Func Study'!$AB$251</definedName>
    <definedName name="cogs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>#REF!</definedName>
    <definedName name="combined1" localSheetId="10" hidden="1">{"YTD-Total",#N/A,TRUE,"Provision";"YTD-Utility",#N/A,TRUE,"Prov Utility";"YTD-NonUtility",#N/A,TRUE,"Prov NonUtility"}</definedName>
    <definedName name="combined1" localSheetId="15" hidden="1">{"YTD-Total",#N/A,TRUE,"Provision";"YTD-Utility",#N/A,TRUE,"Prov Utility";"YTD-NonUtility",#N/A,TRUE,"Prov NonUtility"}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P" localSheetId="21">#REF!</definedName>
    <definedName name="COMP" localSheetId="19">#REF!</definedName>
    <definedName name="COMP">#REF!</definedName>
    <definedName name="COMPACTUAL">#REF!</definedName>
    <definedName name="COMPT" localSheetId="21">#REF!</definedName>
    <definedName name="COMPT" localSheetId="19">#REF!</definedName>
    <definedName name="COMPT">#REF!</definedName>
    <definedName name="COMPWEATHER">#REF!</definedName>
    <definedName name="copy" localSheetId="10" hidden="1">#REF!</definedName>
    <definedName name="copy" localSheetId="0" hidden="1">#REF!</definedName>
    <definedName name="copy" hidden="1">#REF!</definedName>
    <definedName name="COSFacVal">[10]Inputs!$R$5</definedName>
    <definedName name="dad">[18]Variables!$H$2</definedName>
    <definedName name="dana" localSheetId="10" hidden="1">{#N/A,#N/A,FALSE,"Summary EPS";#N/A,#N/A,FALSE,"1st Qtr Electric";#N/A,#N/A,FALSE,"1st Qtr Australia";#N/A,#N/A,FALSE,"1st Qtr Telecom";#N/A,#N/A,FALSE,"1st QTR Other"}</definedName>
    <definedName name="dana" localSheetId="15" hidden="1">{#N/A,#N/A,FALSE,"Summary EPS";#N/A,#N/A,FALSE,"1st Qtr Electric";#N/A,#N/A,FALSE,"1st Qtr Australia";#N/A,#N/A,FALSE,"1st Qtr Telecom";#N/A,#N/A,FALSE,"1st QTR Other"}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0" hidden="1">{#N/A,#N/A,FALSE,"Summary 1";#N/A,#N/A,FALSE,"Domestic";#N/A,#N/A,FALSE,"Australia";#N/A,#N/A,FALSE,"Other"}</definedName>
    <definedName name="dana1" localSheetId="15" hidden="1">{#N/A,#N/A,FALSE,"Summary 1";#N/A,#N/A,FALSE,"Domestic";#N/A,#N/A,FALSE,"Australia";#N/A,#N/A,FALSE,"Other"}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_xlnm.Database" localSheetId="21">[19]Invoice!#REF!</definedName>
    <definedName name="_xlnm.Database" localSheetId="19">[19]Invoice!#REF!</definedName>
    <definedName name="_xlnm.Database">#REF!</definedName>
    <definedName name="DATE">[20]Jan!#REF!</definedName>
    <definedName name="DEC" localSheetId="21">[16]Backup!#REF!</definedName>
    <definedName name="DEC" localSheetId="19">[16]Backup!#REF!</definedName>
    <definedName name="DEC">[16]Backup!#REF!</definedName>
    <definedName name="DECT" localSheetId="21">#REF!</definedName>
    <definedName name="DECT" localSheetId="19">#REF!</definedName>
    <definedName name="DECT">#REF!</definedName>
    <definedName name="DELETE01" localSheetId="10" hidden="1">{#N/A,#N/A,FALSE,"Coversheet";#N/A,#N/A,FALSE,"QA"}</definedName>
    <definedName name="DELETE01" localSheetId="15" hidden="1">{#N/A,#N/A,FALSE,"Coversheet";#N/A,#N/A,FALSE,"QA"}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localSheetId="15" hidden="1">{#N/A,#N/A,FALSE,"Schedule F";#N/A,#N/A,FALSE,"Schedule G"}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localSheetId="15" hidden="1">{#N/A,#N/A,FALSE,"Coversheet";#N/A,#N/A,FALSE,"QA"}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localSheetId="15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localSheetId="15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localSheetId="15" hidden="1">{#N/A,#N/A,FALSE,"Schedule F";#N/A,#N/A,FALSE,"Schedule G"}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localSheetId="15" hidden="1">{#N/A,#N/A,FALSE,"Coversheet";#N/A,#N/A,FALSE,"QA"}</definedName>
    <definedName name="Delete21" localSheetId="0" hidden="1">{#N/A,#N/A,FALSE,"Coversheet";#N/A,#N/A,FALSE,"QA"}</definedName>
    <definedName name="Delete21" hidden="1">{#N/A,#N/A,FALSE,"Coversheet";#N/A,#N/A,FALSE,"QA"}</definedName>
    <definedName name="Demand">[9]Inputs!$D$8</definedName>
    <definedName name="Demand2">[21]Inputs!$D$11</definedName>
    <definedName name="DFIT" localSheetId="10" hidden="1">{#N/A,#N/A,FALSE,"Coversheet";#N/A,#N/A,FALSE,"QA"}</definedName>
    <definedName name="DFIT" localSheetId="15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is">'[10]Func Study'!$AB$250</definedName>
    <definedName name="DisFac">'[10]Func Dist Factor Table'!$A$11:$G$25</definedName>
    <definedName name="Dist_factor">#REF!</definedName>
    <definedName name="DistPeakMethod">[12]Inputs!#REF!</definedName>
    <definedName name="dsd" localSheetId="10" hidden="1">[3]Inputs!#REF!</definedName>
    <definedName name="dsd" hidden="1">[3]Inputs!#REF!</definedName>
    <definedName name="DUDE" localSheetId="10" hidden="1">#REF!</definedName>
    <definedName name="DUDE" localSheetId="21" hidden="1">#REF!</definedName>
    <definedName name="DUDE" localSheetId="19" hidden="1">#REF!</definedName>
    <definedName name="DUDE" localSheetId="15" hidden="1">#REF!</definedName>
    <definedName name="DUDE" localSheetId="0" hidden="1">#REF!</definedName>
    <definedName name="DUDE" hidden="1">#REF!</definedName>
    <definedName name="ee" localSheetId="10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nergy">[17]Readings!$B$3</definedName>
    <definedName name="Engy">[9]Inputs!$D$9</definedName>
    <definedName name="Engy2">[21]Inputs!$D$12</definedName>
    <definedName name="en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10" hidden="1">{#N/A,#N/A,FALSE,"Coversheet";#N/A,#N/A,FALSE,"QA"}</definedName>
    <definedName name="error" localSheetId="15" hidden="1">{#N/A,#N/A,FALSE,"Coversheet";#N/A,#N/A,FALSE,"QA"}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10" hidden="1">{#N/A,#N/A,FALSE,"Summ";#N/A,#N/A,FALSE,"General"}</definedName>
    <definedName name="Estimate" localSheetId="15" hidden="1">{#N/A,#N/A,FALSE,"Summ";#N/A,#N/A,FALSE,"General"}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10" hidden="1">{#N/A,#N/A,FALSE,"Summ";#N/A,#N/A,FALSE,"General"}</definedName>
    <definedName name="ex" localSheetId="15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tra2" localSheetId="10" hidden="1">{#N/A,#N/A,FALSE,"Loans";#N/A,#N/A,FALSE,"Program Costs";#N/A,#N/A,FALSE,"Measures";#N/A,#N/A,FALSE,"Net Lost Rev";#N/A,#N/A,FALSE,"Incentive"}</definedName>
    <definedName name="extra2" localSheetId="15" hidden="1">{#N/A,#N/A,FALSE,"Loans";#N/A,#N/A,FALSE,"Program Costs";#N/A,#N/A,FALSE,"Measures";#N/A,#N/A,FALSE,"Net Lost Rev";#N/A,#N/A,FALSE,"Incentive"}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0" hidden="1">{#N/A,#N/A,FALSE,"Loans";#N/A,#N/A,FALSE,"Program Costs";#N/A,#N/A,FALSE,"Measures";#N/A,#N/A,FALSE,"Net Lost Rev";#N/A,#N/A,FALSE,"Incentive"}</definedName>
    <definedName name="extra3" localSheetId="15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0" hidden="1">{#N/A,#N/A,FALSE,"Loans";#N/A,#N/A,FALSE,"Program Costs";#N/A,#N/A,FALSE,"Measures";#N/A,#N/A,FALSE,"Net Lost Rev";#N/A,#N/A,FALSE,"Incentive"}</definedName>
    <definedName name="extra4" localSheetId="15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0" hidden="1">{#N/A,#N/A,FALSE,"Loans";#N/A,#N/A,FALSE,"Program Costs";#N/A,#N/A,FALSE,"Measures";#N/A,#N/A,FALSE,"Net Lost Rev";#N/A,#N/A,FALSE,"Incentive"}</definedName>
    <definedName name="extra5" localSheetId="15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>#REF!</definedName>
    <definedName name="f104top">#REF!</definedName>
    <definedName name="f138top">#REF!</definedName>
    <definedName name="f140top">#REF!</definedName>
    <definedName name="Factorck">'[10]COS Factor Table'!$O$15:$O$113</definedName>
    <definedName name="FactorMethod">[15]Variables!$AB$2</definedName>
    <definedName name="FactorType">[13]Variables!$AK$2:$AL$12</definedName>
    <definedName name="FACTP">#REF!</definedName>
    <definedName name="FactSum">'[10]COS Factor Table'!$A$14:$O$113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21">[16]Backup!#REF!</definedName>
    <definedName name="FEB" localSheetId="19">[16]Backup!#REF!</definedName>
    <definedName name="FEB">[16]Backup!#REF!</definedName>
    <definedName name="FEBT" localSheetId="21">#REF!</definedName>
    <definedName name="FEBT" localSheetId="19">#REF!</definedName>
    <definedName name="FEBT">#REF!</definedName>
    <definedName name="ffff" localSheetId="10" hidden="1">{#N/A,#N/A,FALSE,"Coversheet";#N/A,#N/A,FALSE,"QA"}</definedName>
    <definedName name="ffff" localSheetId="15" hidden="1">{#N/A,#N/A,FALSE,"Coversheet";#N/A,#N/A,FALSE,"QA"}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10" hidden="1">{#N/A,#N/A,FALSE,"Coversheet";#N/A,#N/A,FALSE,"QA"}</definedName>
    <definedName name="fffgf" localSheetId="15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oo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[14]Variables!$D$26</definedName>
    <definedName name="friend" localSheetId="10" hidden="1">{"PRINT",#N/A,TRUE,"APPA";"PRINT",#N/A,TRUE,"APS";"PRINT",#N/A,TRUE,"BHPL";"PRINT",#N/A,TRUE,"BHPL2";"PRINT",#N/A,TRUE,"CDWR";"PRINT",#N/A,TRUE,"EWEB";"PRINT",#N/A,TRUE,"LADWP";"PRINT",#N/A,TRUE,"NEVBASE"}</definedName>
    <definedName name="friend" localSheetId="15" hidden="1">{"PRINT",#N/A,TRUE,"APPA";"PRINT",#N/A,TRUE,"APS";"PRINT",#N/A,TRUE,"BHPL";"PRINT",#N/A,TRUE,"BHPL2";"PRINT",#N/A,TRUE,"CDWR";"PRINT",#N/A,TRUE,"EWEB";"PRINT",#N/A,TRUE,"LADWP";"PRINT",#N/A,TRUE,"NEVBASE"}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">'[10]Func Factor Table'!$A$10:$H$77</definedName>
    <definedName name="Func_Ftrs" localSheetId="21">#REF!</definedName>
    <definedName name="Func_Ftrs" localSheetId="19">#REF!</definedName>
    <definedName name="Func_Ftrs">#REF!</definedName>
    <definedName name="Func_GTD_Percents" localSheetId="21">#REF!</definedName>
    <definedName name="Func_GTD_Percents" localSheetId="19">#REF!</definedName>
    <definedName name="Func_GTD_Percents">#REF!</definedName>
    <definedName name="Func_MC" localSheetId="21">#REF!</definedName>
    <definedName name="Func_MC" localSheetId="19">#REF!</definedName>
    <definedName name="Func_MC">#REF!</definedName>
    <definedName name="Func_Percents" localSheetId="21">#REF!</definedName>
    <definedName name="Func_Percents" localSheetId="19">#REF!</definedName>
    <definedName name="Func_Percents">#REF!</definedName>
    <definedName name="Func_Rev_Req1" localSheetId="21">#REF!</definedName>
    <definedName name="Func_Rev_Req1" localSheetId="19">#REF!</definedName>
    <definedName name="Func_Rev_Req1">#REF!</definedName>
    <definedName name="Func_Rev_Req2" localSheetId="21">#REF!</definedName>
    <definedName name="Func_Rev_Req2" localSheetId="19">#REF!</definedName>
    <definedName name="Func_Rev_Req2">#REF!</definedName>
    <definedName name="Func_Revenue" localSheetId="21">#REF!</definedName>
    <definedName name="Func_Revenue" localSheetId="19">#REF!</definedName>
    <definedName name="Func_Revenue">#REF!</definedName>
    <definedName name="Function">'[10]Func Study'!$AB$250</definedName>
    <definedName name="GREATER10MW">#REF!</definedName>
    <definedName name="GTD_Percents" localSheetId="21">#REF!</definedName>
    <definedName name="GTD_Percents" localSheetId="19">#REF!</definedName>
    <definedName name="GTD_Percents">#REF!</definedName>
    <definedName name="HEIGHT" localSheetId="21">#REF!</definedName>
    <definedName name="HEIGHT" localSheetId="19">#REF!</definedName>
    <definedName name="HEIGHT">#REF!</definedName>
    <definedName name="helllo" localSheetId="10" hidden="1">{#N/A,#N/A,FALSE,"Pg 6b CustCount_Gas";#N/A,#N/A,FALSE,"QA";#N/A,#N/A,FALSE,"Report";#N/A,#N/A,FALSE,"forecast"}</definedName>
    <definedName name="helllo" localSheetId="15" hidden="1">{#N/A,#N/A,FALSE,"Pg 6b CustCount_Gas";#N/A,#N/A,FALSE,"QA";#N/A,#N/A,FALSE,"Report";#N/A,#N/A,FALSE,"forecast"}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0" hidden="1">{#N/A,#N/A,FALSE,"Coversheet";#N/A,#N/A,FALSE,"QA"}</definedName>
    <definedName name="HELP" localSheetId="15" hidden="1">{#N/A,#N/A,FALSE,"Coversheet";#N/A,#N/A,FALSE,"QA"}</definedName>
    <definedName name="HELP" localSheetId="0" hidden="1">{#N/A,#N/A,FALSE,"Coversheet";#N/A,#N/A,FALSE,"QA"}</definedName>
    <definedName name="HELP" hidden="1">{#N/A,#N/A,FALSE,"Coversheet";#N/A,#N/A,FALSE,"QA"}</definedName>
    <definedName name="HROptim" localSheetId="10" hidden="1">{#N/A,#N/A,FALSE,"Summary";#N/A,#N/A,FALSE,"SmPlants";#N/A,#N/A,FALSE,"Utah";#N/A,#N/A,FALSE,"Idaho";#N/A,#N/A,FALSE,"Lewis River";#N/A,#N/A,FALSE,"NrthUmpq";#N/A,#N/A,FALSE,"KlamRog"}</definedName>
    <definedName name="HROptim" localSheetId="15" hidden="1">{#N/A,#N/A,FALSE,"Summary";#N/A,#N/A,FALSE,"SmPlants";#N/A,#N/A,FALSE,"Utah";#N/A,#N/A,FALSE,"Idaho";#N/A,#N/A,FALSE,"Lewis River";#N/A,#N/A,FALSE,"NrthUmpq";#N/A,#N/A,FALSE,"KlamRog"}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10" hidden="1">{"'Sheet1'!$A$1:$J$121"}</definedName>
    <definedName name="HTML_Control" localSheetId="15" hidden="1">{"'Sheet1'!$A$1:$J$121"}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21">#REF!</definedName>
    <definedName name="ID_0303_RVN_data" localSheetId="19">#REF!</definedName>
    <definedName name="ID_0303_RVN_data">#REF!</definedName>
    <definedName name="IDcontractsRVN" localSheetId="21">#REF!</definedName>
    <definedName name="IDcontractsRVN" localSheetId="19">#REF!</definedName>
    <definedName name="IDcontractsRVN">#REF!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>#REF!</definedName>
    <definedName name="INPUT">[22]Summary!#REF!</definedName>
    <definedName name="Instructions">#REF!</definedName>
    <definedName name="inventory" localSheetId="10" hidden="1">{#N/A,#N/A,FALSE,"Summary";#N/A,#N/A,FALSE,"SmPlants";#N/A,#N/A,FALSE,"Utah";#N/A,#N/A,FALSE,"Idaho";#N/A,#N/A,FALSE,"Lewis River";#N/A,#N/A,FALSE,"NrthUmpq";#N/A,#N/A,FALSE,"KlamRog"}</definedName>
    <definedName name="inventory" localSheetId="15" hidden="1">{#N/A,#N/A,FALSE,"Summary";#N/A,#N/A,FALSE,"SmPlants";#N/A,#N/A,FALSE,"Utah";#N/A,#N/A,FALSE,"Idaho";#N/A,#N/A,FALSE,"Lewis River";#N/A,#N/A,FALSE,"NrthUmpq";#N/A,#N/A,FALSE,"KlamRog"}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21">[16]Backup!#REF!</definedName>
    <definedName name="JAN" localSheetId="19">[16]Backup!#REF!</definedName>
    <definedName name="JAN">[16]Backup!#REF!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21">#REF!</definedName>
    <definedName name="JANT" localSheetId="19">#REF!</definedName>
    <definedName name="JANT">#REF!</definedName>
    <definedName name="jfkljsdkljiejgr" localSheetId="10" hidden="1">{#N/A,#N/A,FALSE,"Summ";#N/A,#N/A,FALSE,"General"}</definedName>
    <definedName name="jfkljsdkljiejgr" localSheetId="15" hidden="1">{#N/A,#N/A,FALSE,"Summ";#N/A,#N/A,FALSE,"General"}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jjj">[23]Inputs!$N$18</definedName>
    <definedName name="JUL" localSheetId="21">[16]Backup!#REF!</definedName>
    <definedName name="JUL" localSheetId="19">[16]Backup!#REF!</definedName>
    <definedName name="JUL">[16]Backup!#REF!</definedName>
    <definedName name="JULT" localSheetId="21">#REF!</definedName>
    <definedName name="JULT" localSheetId="19">#REF!</definedName>
    <definedName name="JULT">#REF!</definedName>
    <definedName name="JUN" localSheetId="21">[16]Backup!#REF!</definedName>
    <definedName name="JUN" localSheetId="19">[16]Backup!#REF!</definedName>
    <definedName name="JUN">[16]Backup!#REF!</definedName>
    <definedName name="junk" localSheetId="10" hidden="1">{"PRINT",#N/A,TRUE,"APPA";"PRINT",#N/A,TRUE,"APS";"PRINT",#N/A,TRUE,"BHPL";"PRINT",#N/A,TRUE,"BHPL2";"PRINT",#N/A,TRUE,"CDWR";"PRINT",#N/A,TRUE,"EWEB";"PRINT",#N/A,TRUE,"LADWP";"PRINT",#N/A,TRUE,"NEVBASE"}</definedName>
    <definedName name="junk" localSheetId="15" hidden="1">{"PRINT",#N/A,TRUE,"APPA";"PRINT",#N/A,TRUE,"APS";"PRINT",#N/A,TRUE,"BHPL";"PRINT",#N/A,TRUE,"BHPL2";"PRINT",#N/A,TRUE,"CDWR";"PRINT",#N/A,TRUE,"EWEB";"PRINT",#N/A,TRUE,"LADWP";"PRINT",#N/A,TRUE,"NEVBASE"}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0" hidden="1">{"PRINT",#N/A,TRUE,"APPA";"PRINT",#N/A,TRUE,"APS";"PRINT",#N/A,TRUE,"BHPL";"PRINT",#N/A,TRUE,"BHPL2";"PRINT",#N/A,TRUE,"CDWR";"PRINT",#N/A,TRUE,"EWEB";"PRINT",#N/A,TRUE,"LADWP";"PRINT",#N/A,TRUE,"NEVBASE"}</definedName>
    <definedName name="junk1" localSheetId="15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0" hidden="1">{"PRINT",#N/A,TRUE,"APPA";"PRINT",#N/A,TRUE,"APS";"PRINT",#N/A,TRUE,"BHPL";"PRINT",#N/A,TRUE,"BHPL2";"PRINT",#N/A,TRUE,"CDWR";"PRINT",#N/A,TRUE,"EWEB";"PRINT",#N/A,TRUE,"LADWP";"PRINT",#N/A,TRUE,"NEVBASE"}</definedName>
    <definedName name="junk2" localSheetId="15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0" hidden="1">{"PRINT",#N/A,TRUE,"APPA";"PRINT",#N/A,TRUE,"APS";"PRINT",#N/A,TRUE,"BHPL";"PRINT",#N/A,TRUE,"BHPL2";"PRINT",#N/A,TRUE,"CDWR";"PRINT",#N/A,TRUE,"EWEB";"PRINT",#N/A,TRUE,"LADWP";"PRINT",#N/A,TRUE,"NEVBASE"}</definedName>
    <definedName name="junk3" localSheetId="15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0" hidden="1">{"PRINT",#N/A,TRUE,"APPA";"PRINT",#N/A,TRUE,"APS";"PRINT",#N/A,TRUE,"BHPL";"PRINT",#N/A,TRUE,"BHPL2";"PRINT",#N/A,TRUE,"CDWR";"PRINT",#N/A,TRUE,"EWEB";"PRINT",#N/A,TRUE,"LADWP";"PRINT",#N/A,TRUE,"NEVBASE"}</definedName>
    <definedName name="junk4" localSheetId="15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0" hidden="1">{"PRINT",#N/A,TRUE,"APPA";"PRINT",#N/A,TRUE,"APS";"PRINT",#N/A,TRUE,"BHPL";"PRINT",#N/A,TRUE,"BHPL2";"PRINT",#N/A,TRUE,"CDWR";"PRINT",#N/A,TRUE,"EWEB";"PRINT",#N/A,TRUE,"LADWP";"PRINT",#N/A,TRUE,"NEVBASE"}</definedName>
    <definedName name="junk5" localSheetId="15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21">#REF!</definedName>
    <definedName name="JUNT" localSheetId="19">#REF!</definedName>
    <definedName name="JUNT">#REF!</definedName>
    <definedName name="Jurisdiction">[13]Variables!$AK$15</definedName>
    <definedName name="JurisNumber">[13]Variables!$AL$15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0" hidden="1">{"PRINT",#N/A,TRUE,"APPA";"PRINT",#N/A,TRUE,"APS";"PRINT",#N/A,TRUE,"BHPL";"PRINT",#N/A,TRUE,"BHPL2";"PRINT",#N/A,TRUE,"CDWR";"PRINT",#N/A,TRUE,"EWEB";"PRINT",#N/A,TRUE,"LADWP";"PRINT",#N/A,TRUE,"NEVBASE"}</definedName>
    <definedName name="Keep" localSheetId="1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0" hidden="1">{"PRINT",#N/A,TRUE,"APPA";"PRINT",#N/A,TRUE,"APS";"PRINT",#N/A,TRUE,"BHPL";"PRINT",#N/A,TRUE,"BHPL2";"PRINT",#N/A,TRUE,"CDWR";"PRINT",#N/A,TRUE,"EWEB";"PRINT",#N/A,TRUE,"LADWP";"PRINT",#N/A,TRUE,"NEVBASE"}</definedName>
    <definedName name="keep2" localSheetId="15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21">#REF!</definedName>
    <definedName name="LABORMOD" localSheetId="19">#REF!</definedName>
    <definedName name="LABORMOD">#REF!</definedName>
    <definedName name="LABORROLL" localSheetId="21">#REF!</definedName>
    <definedName name="LABORROLL" localSheetId="19">#REF!</definedName>
    <definedName name="LABORROLL">#REF!</definedName>
    <definedName name="limcount" hidden="1">1</definedName>
    <definedName name="Line_Ext_Credit" localSheetId="21">#REF!</definedName>
    <definedName name="Line_Ext_Credit" localSheetId="19">#REF!</definedName>
    <definedName name="Line_Ext_Credit">#REF!</definedName>
    <definedName name="LinkCos">'[10]JAM Download'!$K$4</definedName>
    <definedName name="ListOffset" hidden="1">1</definedName>
    <definedName name="LOG" localSheetId="21">[16]Backup!#REF!</definedName>
    <definedName name="LOG" localSheetId="19">[16]Backup!#REF!</definedName>
    <definedName name="LOG">[16]Backup!#REF!</definedName>
    <definedName name="lookup" localSheetId="10" hidden="1">{#N/A,#N/A,FALSE,"Coversheet";#N/A,#N/A,FALSE,"QA"}</definedName>
    <definedName name="lookup" localSheetId="15" hidden="1">{#N/A,#N/A,FALSE,"Coversheet";#N/A,#N/A,FALSE,"QA"}</definedName>
    <definedName name="lookup" localSheetId="0" hidden="1">{#N/A,#N/A,FALSE,"Coversheet";#N/A,#N/A,FALSE,"QA"}</definedName>
    <definedName name="lookup" hidden="1">{#N/A,#N/A,FALSE,"Coversheet";#N/A,#N/A,FALSE,"QA"}</definedName>
    <definedName name="LOSS" localSheetId="21">[16]Backup!#REF!</definedName>
    <definedName name="LOSS" localSheetId="19">[16]Backup!#REF!</definedName>
    <definedName name="LOSS">[16]Backup!#REF!</definedName>
    <definedName name="MACTIT">#REF!</definedName>
    <definedName name="MAR" localSheetId="21">[16]Backup!#REF!</definedName>
    <definedName name="MAR" localSheetId="19">[16]Backup!#REF!</definedName>
    <definedName name="MAR">[16]Backup!#REF!</definedName>
    <definedName name="MART" localSheetId="21">#REF!</definedName>
    <definedName name="MART" localSheetId="19">#REF!</definedName>
    <definedName name="MART">#REF!</definedName>
    <definedName name="Master" localSheetId="10" hidden="1">{#N/A,#N/A,FALSE,"Actual";#N/A,#N/A,FALSE,"Normalized";#N/A,#N/A,FALSE,"Electric Actual";#N/A,#N/A,FALSE,"Electric Normalized"}</definedName>
    <definedName name="Master" localSheetId="15" hidden="1">{#N/A,#N/A,FALSE,"Actual";#N/A,#N/A,FALSE,"Normalized";#N/A,#N/A,FALSE,"Electric Actual";#N/A,#N/A,FALSE,"Electric Normalized"}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21">[16]Backup!#REF!</definedName>
    <definedName name="MAY" localSheetId="19">[16]Backup!#REF!</definedName>
    <definedName name="MAY">[16]Backup!#REF!</definedName>
    <definedName name="MAYT" localSheetId="21">#REF!</definedName>
    <definedName name="MAYT" localSheetId="19">#REF!</definedName>
    <definedName name="MAYT">#REF!</definedName>
    <definedName name="MCtoREV" localSheetId="21">#REF!</definedName>
    <definedName name="MCtoREV" localSheetId="19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[9]Inputs!$C$6</definedName>
    <definedName name="Miller" localSheetId="10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10" hidden="1">{"PRINT",#N/A,TRUE,"APPA";"PRINT",#N/A,TRUE,"APS";"PRINT",#N/A,TRUE,"BHPL";"PRINT",#N/A,TRUE,"BHPL2";"PRINT",#N/A,TRUE,"CDWR";"PRINT",#N/A,TRUE,"EWEB";"PRINT",#N/A,TRUE,"LADWP";"PRINT",#N/A,TRUE,"NEVBASE"}</definedName>
    <definedName name="mmm" localSheetId="15" hidden="1">{"PRINT",#N/A,TRUE,"APPA";"PRINT",#N/A,TRUE,"APS";"PRINT",#N/A,TRUE,"BHPL";"PRINT",#N/A,TRUE,"BHPL2";"PRINT",#N/A,TRUE,"CDWR";"PRINT",#N/A,TRUE,"EWEB";"PRINT",#N/A,TRUE,"LADWP";"PRINT",#N/A,TRUE,"NEVBASE"}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21">[16]Backup!#REF!</definedName>
    <definedName name="MONTH" localSheetId="19">[16]Backup!#REF!</definedName>
    <definedName name="MONTH">[16]Backup!#REF!</definedName>
    <definedName name="monthlist">[24]Table!$R$2:$S$13</definedName>
    <definedName name="monthtotals">#REF!</definedName>
    <definedName name="MSPAverageInput">[15]Inputs!#REF!</definedName>
    <definedName name="MSPYearEndInput">[15]Inputs!#REF!</definedName>
    <definedName name="MTKWH">#REF!</definedName>
    <definedName name="MTR_YR3">[25]Variables!$E$14</definedName>
    <definedName name="MTREV">#REF!</definedName>
    <definedName name="MULT" localSheetId="21">#REF!</definedName>
    <definedName name="MULT" localSheetId="19">#REF!</definedName>
    <definedName name="MULT">#REF!</definedName>
    <definedName name="Net_to_Gross_Factor">[10]Inputs!$G$8</definedName>
    <definedName name="NetToGross">[14]Variables!$D$23</definedName>
    <definedName name="new" localSheetId="10" hidden="1">{#N/A,#N/A,TRUE,"Section6";#N/A,#N/A,TRUE,"OHcycles";#N/A,#N/A,TRUE,"OHtiming";#N/A,#N/A,TRUE,"OHcosts";#N/A,#N/A,TRUE,"GTdegradation";#N/A,#N/A,TRUE,"GTperformance";#N/A,#N/A,TRUE,"GraphEquip"}</definedName>
    <definedName name="new" localSheetId="15" hidden="1">{#N/A,#N/A,FALSE,"Summ";#N/A,#N/A,FALSE,"General"}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>[1]Jan!#REF!</definedName>
    <definedName name="NEWMO2">[1]Jan!#REF!</definedName>
    <definedName name="NEWMONTH">[1]Jan!#REF!</definedName>
    <definedName name="NORMALIZE" localSheetId="21">#REF!</definedName>
    <definedName name="NORMALIZE" localSheetId="19">#REF!</definedName>
    <definedName name="NORMALIZE">#REF!</definedName>
    <definedName name="NOV" localSheetId="21">[16]Backup!#REF!</definedName>
    <definedName name="NOV" localSheetId="19">[16]Backup!#REF!</definedName>
    <definedName name="NOV">[16]Backup!#REF!</definedName>
    <definedName name="NOVT" localSheetId="21">#REF!</definedName>
    <definedName name="NOVT" localSheetId="19">#REF!</definedName>
    <definedName name="NOVT">#REF!</definedName>
    <definedName name="NPC">[12]Inputs!$N$18</definedName>
    <definedName name="NUM">#REF!</definedName>
    <definedName name="OCT" localSheetId="21">[16]Backup!#REF!</definedName>
    <definedName name="OCT" localSheetId="19">[16]Backup!#REF!</definedName>
    <definedName name="OCT">[16]Backup!#REF!</definedName>
    <definedName name="OCTT" localSheetId="21">#REF!</definedName>
    <definedName name="OCTT" localSheetId="19">#REF!</definedName>
    <definedName name="OCTT">#REF!</definedName>
    <definedName name="OHSch10YR" localSheetId="10" hidden="1">{#N/A,#N/A,FALSE,"Summary";#N/A,#N/A,FALSE,"SmPlants";#N/A,#N/A,FALSE,"Utah";#N/A,#N/A,FALSE,"Idaho";#N/A,#N/A,FALSE,"Lewis River";#N/A,#N/A,FALSE,"NrthUmpq";#N/A,#N/A,FALSE,"KlamRog"}</definedName>
    <definedName name="OHSch10YR" localSheetId="15" hidden="1">{#N/A,#N/A,FALSE,"Summary";#N/A,#N/A,FALSE,"SmPlants";#N/A,#N/A,FALSE,"Utah";#N/A,#N/A,FALSE,"Idaho";#N/A,#N/A,FALSE,"Lewis River";#N/A,#N/A,FALSE,"NrthUmpq";#N/A,#N/A,FALSE,"KlamRog"}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0" hidden="1">{#N/A,#N/A,FALSE,"Summary";#N/A,#N/A,FALSE,"SmPlants";#N/A,#N/A,FALSE,"Utah";#N/A,#N/A,FALSE,"Idaho";#N/A,#N/A,FALSE,"Lewis River";#N/A,#N/A,FALSE,"NrthUmpq";#N/A,#N/A,FALSE,"KlamRog"}</definedName>
    <definedName name="om" localSheetId="15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[1]Jan!#REF!</definedName>
    <definedName name="option">'[26]Dist Misc'!$F$120</definedName>
    <definedName name="others" localSheetId="10" hidden="1">{"Factors Pages 1-2",#N/A,FALSE,"Factors";"Factors Page 3",#N/A,FALSE,"Factors";"Factors Page 4",#N/A,FALSE,"Factors";"Factors Page 5",#N/A,FALSE,"Factors";"Factors Pages 8-27",#N/A,FALSE,"Factors"}</definedName>
    <definedName name="others" localSheetId="15" hidden="1">{"Factors Pages 1-2",#N/A,FALSE,"Factors";"Factors Page 3",#N/A,FALSE,"Factors";"Factors Page 4",#N/A,FALSE,"Factors";"Factors Page 5",#N/A,FALSE,"Factors";"Factors Pages 8-27",#N/A,FALSE,"Factors"}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 localSheetId="21">#REF!</definedName>
    <definedName name="PAGE3" localSheetId="19">#REF!</definedName>
    <definedName name="PAGE3">#REF!</definedName>
    <definedName name="Page4">#REF!</definedName>
    <definedName name="Page5">#REF!</definedName>
    <definedName name="Page6">#REF!</definedName>
    <definedName name="Page62">[27]TransInvest!#REF!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[9]Inputs!$T$5</definedName>
    <definedName name="pete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21">[16]Backup!#REF!</definedName>
    <definedName name="PMAC" localSheetId="19">[16]Backup!#REF!</definedName>
    <definedName name="PMAC">[16]Backup!#REF!</definedName>
    <definedName name="PRESENT" localSheetId="21">#REF!</definedName>
    <definedName name="PRESENT" localSheetId="19">#REF!</definedName>
    <definedName name="PRESENT">#REF!</definedName>
    <definedName name="PRICCHNG">#REF!</definedName>
    <definedName name="PricingInfo" localSheetId="10" hidden="1">[28]Inputs!#REF!</definedName>
    <definedName name="PricingInfo" localSheetId="15" hidden="1">[29]Inputs!#REF!</definedName>
    <definedName name="PricingInfo" localSheetId="0" hidden="1">[28]Inputs!#REF!</definedName>
    <definedName name="PricingInfo" hidden="1">[28]Inputs!#REF!</definedName>
    <definedName name="_xlnm.Print_Area" localSheetId="12">'AutoPay&amp;Paperless'!$A$1:$G$23</definedName>
    <definedName name="_xlnm.Print_Area" localSheetId="14">'Normalized Summary'!$A$1:$S$118</definedName>
    <definedName name="_xlnm.Print_Area" localSheetId="11">'Normalized Units'!$A$2:$V$257</definedName>
    <definedName name="_xlnm.Print_Area" localSheetId="9">'Sch.15,51,53,54'!$A$1:$G$183</definedName>
    <definedName name="_xlnm.Print_Area" localSheetId="2">'Sch.16,17,19'!$A$1:$K$157,'Sch.16,17,19'!$L$4:$Q$81</definedName>
    <definedName name="_xlnm.Print_Area" localSheetId="3">Sch.24!$A$1:$M$115,Sch.24!$N$4:$S$257</definedName>
    <definedName name="_xlnm.Print_Area" localSheetId="15">'Sch.24,29,36,40 Customers'!$A$2:$T$67</definedName>
    <definedName name="_xlnm.Print_Area" localSheetId="4">'Sch.29,36'!$A$1:$L$29,'Sch.29,36'!$M$4:$S$215</definedName>
    <definedName name="_xlnm.Print_Area" localSheetId="8">Sch.40!$A$43:$M$68,Sch.40!$N$1:$S$129</definedName>
    <definedName name="_xlnm.Print_Area" localSheetId="16">'Sch.40 Bills'!$A$1:$O$5</definedName>
    <definedName name="_xlnm.Print_Area" localSheetId="7">Sch.47T!$A$1:$F$51</definedName>
    <definedName name="_xlnm.Print_Area" localSheetId="5">Sch.48T!$A$1:$M$46,Sch.48T!$N$4:$T$213</definedName>
    <definedName name="_xlnm.Print_Area" localSheetId="6">'Sch.48T-DF'!$A$27:$K$46,'Sch.48T-DF'!$L$1:$O$69</definedName>
    <definedName name="_xlnm.Print_Area" localSheetId="0">Summary!$B$1:$O$25,Summary!$A$26:$O$73</definedName>
    <definedName name="_xlnm.Print_Area" localSheetId="13">Unbilled!$A$1:$E$22</definedName>
    <definedName name="_xlnm.Print_Titles" localSheetId="12">'AutoPay&amp;Paperless'!$1:$4</definedName>
    <definedName name="_xlnm.Print_Titles" localSheetId="14">'Normalized Summary'!$1:$7</definedName>
    <definedName name="_xlnm.Print_Titles" localSheetId="11">'Normalized Units'!$2:$2</definedName>
    <definedName name="_xlnm.Print_Titles" localSheetId="9">'Sch.15,51,53,54'!$1:$6</definedName>
    <definedName name="_xlnm.Print_Titles" localSheetId="2">'Sch.16,17,19'!$1:$7</definedName>
    <definedName name="_xlnm.Print_Titles" localSheetId="3">Sch.24!$1:$7</definedName>
    <definedName name="_xlnm.Print_Titles" localSheetId="4">'Sch.29,36'!$1:$7</definedName>
    <definedName name="_xlnm.Print_Titles" localSheetId="8">Sch.40!$1:$4</definedName>
    <definedName name="_xlnm.Print_Titles" localSheetId="7">Sch.47T!$1:$4</definedName>
    <definedName name="_xlnm.Print_Titles" localSheetId="5">Sch.48T!$1:$7</definedName>
    <definedName name="_xlnm.Print_Titles" localSheetId="6">'Sch.48T-DF'!$1:$4</definedName>
    <definedName name="_xlnm.Print_Titles" localSheetId="13">Unbilled!$1:$3</definedName>
    <definedName name="PTABLES">#REF!</definedName>
    <definedName name="PTDMOD" localSheetId="21">#REF!</definedName>
    <definedName name="PTDMOD" localSheetId="19">#REF!</definedName>
    <definedName name="PTDMOD">#REF!</definedName>
    <definedName name="PTDROLL" localSheetId="21">#REF!</definedName>
    <definedName name="PTDROLL" localSheetId="19">#REF!</definedName>
    <definedName name="PTDROLL">#REF!</definedName>
    <definedName name="PTMOD" localSheetId="21">#REF!</definedName>
    <definedName name="PTMOD" localSheetId="19">#REF!</definedName>
    <definedName name="PTMOD">#REF!</definedName>
    <definedName name="PTROLL" localSheetId="21">#REF!</definedName>
    <definedName name="PTROLL" localSheetId="19">#REF!</definedName>
    <definedName name="PTROLL">#REF!</definedName>
    <definedName name="PWORKBACK">#REF!</definedName>
    <definedName name="q" localSheetId="10" hidden="1">{#N/A,#N/A,FALSE,"Coversheet";#N/A,#N/A,FALSE,"QA"}</definedName>
    <definedName name="q" localSheetId="15" hidden="1">{#N/A,#N/A,FALSE,"Coversheet";#N/A,#N/A,FALSE,"QA"}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10" hidden="1">{#N/A,#N/A,FALSE,"schA"}</definedName>
    <definedName name="qqq" localSheetId="15" hidden="1">{#N/A,#N/A,FALSE,"schA"}</definedName>
    <definedName name="qqq" localSheetId="0" hidden="1">{#N/A,#N/A,FALSE,"schA"}</definedName>
    <definedName name="qqq" hidden="1">{#N/A,#N/A,FALSE,"schA"}</definedName>
    <definedName name="Query1" localSheetId="21">#REF!</definedName>
    <definedName name="Query1" localSheetId="19">#REF!</definedName>
    <definedName name="Query1">#REF!</definedName>
    <definedName name="Rates">[30]Codes!$A$1:$C$497</definedName>
    <definedName name="RC_ADJ">#REF!</definedName>
    <definedName name="RESADJ">#REF!</definedName>
    <definedName name="ResourceSupplier">[14]Variables!$D$28</definedName>
    <definedName name="retail" localSheetId="10" hidden="1">{#N/A,#N/A,FALSE,"Loans";#N/A,#N/A,FALSE,"Program Costs";#N/A,#N/A,FALSE,"Measures";#N/A,#N/A,FALSE,"Net Lost Rev";#N/A,#N/A,FALSE,"Incentive"}</definedName>
    <definedName name="retail" localSheetId="15" hidden="1">{#N/A,#N/A,FALSE,"Loans";#N/A,#N/A,FALSE,"Program Costs";#N/A,#N/A,FALSE,"Measures";#N/A,#N/A,FALSE,"Net Lost Rev";#N/A,#N/A,FALSE,"Incentive"}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0" hidden="1">{#N/A,#N/A,FALSE,"Loans";#N/A,#N/A,FALSE,"Program Costs";#N/A,#N/A,FALSE,"Measures";#N/A,#N/A,FALSE,"Net Lost Rev";#N/A,#N/A,FALSE,"Incentive"}</definedName>
    <definedName name="retail_CC" localSheetId="15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0" hidden="1">{#N/A,#N/A,FALSE,"Loans";#N/A,#N/A,FALSE,"Program Costs";#N/A,#N/A,FALSE,"Measures";#N/A,#N/A,FALSE,"Net Lost Rev";#N/A,#N/A,FALSE,"Incentive"}</definedName>
    <definedName name="retail_CC1" localSheetId="15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[30]Codes!$F$2:$G$10</definedName>
    <definedName name="Revenue_by_month_take_2" localSheetId="21">#REF!</definedName>
    <definedName name="Revenue_by_month_take_2" localSheetId="19">#REF!</definedName>
    <definedName name="Revenue_by_month_take_2">#REF!</definedName>
    <definedName name="RevenueCheck" localSheetId="21">#REF!</definedName>
    <definedName name="RevenueCheck" localSheetId="19">#REF!</definedName>
    <definedName name="RevenueCheck">#REF!</definedName>
    <definedName name="RevReqSettle">#REF!</definedName>
    <definedName name="REVVSTRS">#REF!</definedName>
    <definedName name="RISFORM" localSheetId="21">#REF!</definedName>
    <definedName name="RISFORM" localSheetId="19">#REF!</definedName>
    <definedName name="RISFORM">#REF!</definedName>
    <definedName name="rrr" localSheetId="10" hidden="1">{"PRINT",#N/A,TRUE,"APPA";"PRINT",#N/A,TRUE,"APS";"PRINT",#N/A,TRUE,"BHPL";"PRINT",#N/A,TRUE,"BHPL2";"PRINT",#N/A,TRUE,"CDWR";"PRINT",#N/A,TRUE,"EWEB";"PRINT",#N/A,TRUE,"LADWP";"PRINT",#N/A,TRUE,"NEVBASE"}</definedName>
    <definedName name="rrr" localSheetId="15" hidden="1">{"PRINT",#N/A,TRUE,"APPA";"PRINT",#N/A,TRUE,"APS";"PRINT",#N/A,TRUE,"BHPL";"PRINT",#N/A,TRUE,"BHPL2";"PRINT",#N/A,TRUE,"CDWR";"PRINT",#N/A,TRUE,"EWEB";"PRINT",#N/A,TRUE,"LADWP";"PRINT",#N/A,TRUE,"NEVBASE"}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>#REF!</definedName>
    <definedName name="SCH48ADJ">#REF!</definedName>
    <definedName name="SCH98NOR">#REF!</definedName>
    <definedName name="SCHED47">#REF!</definedName>
    <definedName name="Schedule">[12]Inputs!$N$14</definedName>
    <definedName name="sdlfhsdlhfkl" localSheetId="10" hidden="1">{#N/A,#N/A,FALSE,"Summ";#N/A,#N/A,FALSE,"General"}</definedName>
    <definedName name="sdlfhsdlhfkl" localSheetId="15" hidden="1">{#N/A,#N/A,FALSE,"Summ";#N/A,#N/A,FALSE,"General"}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" localSheetId="21">#REF!</definedName>
    <definedName name="se" localSheetId="19">#REF!</definedName>
    <definedName name="se">#REF!</definedName>
    <definedName name="SECOND">[1]Jan!#REF!</definedName>
    <definedName name="SEP" localSheetId="21">[16]Backup!#REF!</definedName>
    <definedName name="SEP" localSheetId="19">[16]Backup!#REF!</definedName>
    <definedName name="SEP">[16]Backup!#REF!</definedName>
    <definedName name="SEPT" localSheetId="21">#REF!</definedName>
    <definedName name="SEPT" localSheetId="19">#REF!</definedName>
    <definedName name="SEPT">#REF!</definedName>
    <definedName name="SERVICES_3" localSheetId="21">#REF!</definedName>
    <definedName name="SERVICES_3" localSheetId="19">#REF!</definedName>
    <definedName name="SERVICES_3">#REF!</definedName>
    <definedName name="seven" localSheetId="10" hidden="1">{#N/A,#N/A,FALSE,"CRPT";#N/A,#N/A,FALSE,"TREND";#N/A,#N/A,FALSE,"%Curve"}</definedName>
    <definedName name="seven" localSheetId="15" hidden="1">{#N/A,#N/A,FALSE,"CRPT";#N/A,#N/A,FALSE,"TREND";#N/A,#N/A,FALSE,"%Curve"}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g" localSheetId="21">#REF!</definedName>
    <definedName name="sg" localSheetId="19">#REF!</definedName>
    <definedName name="sg">#REF!</definedName>
    <definedName name="shit" localSheetId="10" hidden="1">{"PRINT",#N/A,TRUE,"APPA";"PRINT",#N/A,TRUE,"APS";"PRINT",#N/A,TRUE,"BHPL";"PRINT",#N/A,TRUE,"BHPL2";"PRINT",#N/A,TRUE,"CDWR";"PRINT",#N/A,TRUE,"EWEB";"PRINT",#N/A,TRUE,"LADWP";"PRINT",#N/A,TRUE,"NEVBASE"}</definedName>
    <definedName name="shit" localSheetId="15" hidden="1">{"PRINT",#N/A,TRUE,"APPA";"PRINT",#N/A,TRUE,"APS";"PRINT",#N/A,TRUE,"BHPL";"PRINT",#N/A,TRUE,"BHPL2";"PRINT",#N/A,TRUE,"CDWR";"PRINT",#N/A,TRUE,"EWEB";"PRINT",#N/A,TRUE,"LADWP";"PRINT",#N/A,TRUE,"NEVBASE"}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[15]Variables!$AE$32</definedName>
    <definedName name="six" localSheetId="10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10" hidden="1">{#N/A,#N/A,FALSE,"Summary";#N/A,#N/A,FALSE,"SmPlants";#N/A,#N/A,FALSE,"Utah";#N/A,#N/A,FALSE,"Idaho";#N/A,#N/A,FALSE,"Lewis River";#N/A,#N/A,FALSE,"NrthUmpq";#N/A,#N/A,FALSE,"KlamRog"}</definedName>
    <definedName name="SpecMaint" localSheetId="15" hidden="1">{#N/A,#N/A,FALSE,"Summary";#N/A,#N/A,FALSE,"SmPlants";#N/A,#N/A,FALSE,"Utah";#N/A,#N/A,FALSE,"Idaho";#N/A,#N/A,FALSE,"Lewis River";#N/A,#N/A,FALSE,"NrthUmpq";#N/A,#N/A,FALSE,"KlamRog"}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0" hidden="1">{#N/A,#N/A,FALSE,"Actual";#N/A,#N/A,FALSE,"Normalized";#N/A,#N/A,FALSE,"Electric Actual";#N/A,#N/A,FALSE,"Electric Normalized"}</definedName>
    <definedName name="spippw" localSheetId="15" hidden="1">{#N/A,#N/A,FALSE,"Actual";#N/A,#N/A,FALSE,"Normalized";#N/A,#N/A,FALSE,"Electric Actual";#N/A,#N/A,FALSE,"Electric Normalized"}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0" hidden="1">{"PRINT",#N/A,TRUE,"APPA";"PRINT",#N/A,TRUE,"APS";"PRINT",#N/A,TRUE,"BHPL";"PRINT",#N/A,TRUE,"BHPL2";"PRINT",#N/A,TRUE,"CDWR";"PRINT",#N/A,TRUE,"EWEB";"PRINT",#N/A,TRUE,"LADWP";"PRINT",#N/A,TRUE,"NEVBASE"}</definedName>
    <definedName name="ss" localSheetId="15" hidden="1">{"PRINT",#N/A,TRUE,"APPA";"PRINT",#N/A,TRUE,"APS";"PRINT",#N/A,TRUE,"BHPL";"PRINT",#N/A,TRUE,"BHPL2";"PRINT",#N/A,TRUE,"CDWR";"PRINT",#N/A,TRUE,"EWEB";"PRINT",#N/A,TRUE,"LADWP";"PRINT",#N/A,TRUE,"NEVBASE"}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0" hidden="1">{"YTD-Total",#N/A,FALSE,"Provision"}</definedName>
    <definedName name="standard1" localSheetId="15" hidden="1">{"YTD-Total",#N/A,FALSE,"Provision"}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UM_TAB1">#REF!</definedName>
    <definedName name="SUM_TAB2">#REF!</definedName>
    <definedName name="SUM_TAB3">#REF!</definedName>
    <definedName name="t" localSheetId="10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21">#REF!</definedName>
    <definedName name="TABLE_1" localSheetId="19">#REF!</definedName>
    <definedName name="TABLE_1">#REF!</definedName>
    <definedName name="TABLE_2" localSheetId="21">#REF!</definedName>
    <definedName name="TABLE_2" localSheetId="19">#REF!</definedName>
    <definedName name="TABLE_2">#REF!</definedName>
    <definedName name="TABLE_3" localSheetId="21">#REF!</definedName>
    <definedName name="TABLE_3" localSheetId="19">#REF!</definedName>
    <definedName name="TABLE_3">#REF!</definedName>
    <definedName name="TABLE_4" localSheetId="21">#REF!</definedName>
    <definedName name="TABLE_4" localSheetId="19">#REF!</definedName>
    <definedName name="TABLE_4">#REF!</definedName>
    <definedName name="TABLE_4_A" localSheetId="21">#REF!</definedName>
    <definedName name="TABLE_4_A" localSheetId="19">#REF!</definedName>
    <definedName name="TABLE_4_A">#REF!</definedName>
    <definedName name="TABLE_5" localSheetId="21">#REF!</definedName>
    <definedName name="TABLE_5" localSheetId="19">#REF!</definedName>
    <definedName name="TABLE_5">#REF!</definedName>
    <definedName name="TABLE_6" localSheetId="21">#REF!</definedName>
    <definedName name="TABLE_6" localSheetId="19">#REF!</definedName>
    <definedName name="TABLE_6">#REF!</definedName>
    <definedName name="TABLE_7" localSheetId="21">#REF!</definedName>
    <definedName name="TABLE_7" localSheetId="19">#REF!</definedName>
    <definedName name="TABLE_7">#REF!</definedName>
    <definedName name="TABLE1">#REF!</definedName>
    <definedName name="TABLE2">#REF!</definedName>
    <definedName name="TABLEA">#REF!</definedName>
    <definedName name="TABLEONE" localSheetId="21">#REF!</definedName>
    <definedName name="TABLEONE" localSheetId="19">#REF!</definedName>
    <definedName name="TABLEONE">#REF!</definedName>
    <definedName name="TargetROR">[9]Inputs!$G$29</definedName>
    <definedName name="TDMOD" localSheetId="21">#REF!</definedName>
    <definedName name="TDMOD" localSheetId="19">#REF!</definedName>
    <definedName name="TDMOD">#REF!</definedName>
    <definedName name="TDROLL" localSheetId="21">#REF!</definedName>
    <definedName name="TDROLL" localSheetId="19">#REF!</definedName>
    <definedName name="TDROLL">#REF!</definedName>
    <definedName name="tem" localSheetId="10" hidden="1">{#N/A,#N/A,FALSE,"Summ";#N/A,#N/A,FALSE,"General"}</definedName>
    <definedName name="tem" localSheetId="15" hidden="1">{#N/A,#N/A,FALSE,"Summ";#N/A,#N/A,FALSE,"General"}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10" hidden="1">{#N/A,#N/A,FALSE,"Summ";#N/A,#N/A,FALSE,"General"}</definedName>
    <definedName name="TEMP" localSheetId="15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10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0" hidden="1">{#N/A,#N/A,FALSE,"CESTSUM";#N/A,#N/A,FALSE,"est sum A";#N/A,#N/A,FALSE,"est detail A"}</definedName>
    <definedName name="temp2" localSheetId="15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[10]Inputs!$C$5</definedName>
    <definedName name="TotalRateBase">'[10]G+T+D+R+M'!$H$58</definedName>
    <definedName name="tr" localSheetId="10" hidden="1">{#N/A,#N/A,FALSE,"CESTSUM";#N/A,#N/A,FALSE,"est sum A";#N/A,#N/A,FALSE,"est detail A"}</definedName>
    <definedName name="tr" localSheetId="15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0" hidden="1">#REF!</definedName>
    <definedName name="Transfer" localSheetId="15" hidden="1">#REF!</definedName>
    <definedName name="Transfer" localSheetId="0" hidden="1">#REF!</definedName>
    <definedName name="Transfer" hidden="1">#REF!</definedName>
    <definedName name="Transfers" localSheetId="10" hidden="1">#REF!</definedName>
    <definedName name="Transfers" localSheetId="0" hidden="1">#REF!</definedName>
    <definedName name="Transfers" hidden="1">#REF!</definedName>
    <definedName name="TRANSM_2">[31]Transm2!$A$1:$M$461:'[31]10 Yr FC'!$M$47</definedName>
    <definedName name="u" localSheetId="10" hidden="1">{#N/A,#N/A,FALSE,"Summ";#N/A,#N/A,FALSE,"General"}</definedName>
    <definedName name="u" localSheetId="15" hidden="1">{#N/A,#N/A,FALSE,"Summ";#N/A,#N/A,FALSE,"General"}</definedName>
    <definedName name="u" localSheetId="0" hidden="1">{#N/A,#N/A,FALSE,"Summ";#N/A,#N/A,FALSE,"General"}</definedName>
    <definedName name="u" hidden="1">{#N/A,#N/A,FALSE,"Summ";#N/A,#N/A,FALSE,"General"}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>'[12]Functional Study'!#REF!</definedName>
    <definedName name="UACCT115DGP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>'[11]Functional Study'!#REF!</definedName>
    <definedName name="UACCT41020BADDEBT">'[11]Functional Study'!#REF!</definedName>
    <definedName name="UACCT41020DITEXP">'[11]Functional Study'!#REF!</definedName>
    <definedName name="UACCT41020DNPU">'[11]Functional Study'!#REF!</definedName>
    <definedName name="UACCT41020S">'[11]Functional Study'!#REF!</definedName>
    <definedName name="UACCT41020SE">'[11]Functional Study'!#REF!</definedName>
    <definedName name="UACCT41020SG">'[11]Functional Study'!#REF!</definedName>
    <definedName name="UACCT41020SGCT">'[11]Functional Study'!#REF!</definedName>
    <definedName name="UACCT41020SGPP">'[11]Functional Study'!#REF!</definedName>
    <definedName name="UACCT41020SO">'[11]Functional Study'!#REF!</definedName>
    <definedName name="UACCT41020TROJP">'[11]Functional Study'!#REF!</definedName>
    <definedName name="UACCT4102SNPD">'[11]Functional Study'!#REF!</definedName>
    <definedName name="UAcct41110">'[10]Func Study'!$AB$1325</definedName>
    <definedName name="UAcct41111">'[11]Functional Study'!#REF!</definedName>
    <definedName name="UAcct41111Baddebt">'[11]Functional Study'!#REF!</definedName>
    <definedName name="UAcct41111Dgp">'[11]Functional Study'!#REF!</definedName>
    <definedName name="UAcct41111Dgu">'[11]Functional Study'!#REF!</definedName>
    <definedName name="UAcct41111Ditexp">'[11]Functional Study'!#REF!</definedName>
    <definedName name="UAcct41111Dnpp">'[11]Functional Study'!#REF!</definedName>
    <definedName name="UAcct41111Dnptp">'[11]Functional Study'!#REF!</definedName>
    <definedName name="UAcct41111S">'[11]Functional Study'!#REF!</definedName>
    <definedName name="UAcct41111Se">'[11]Functional Study'!#REF!</definedName>
    <definedName name="UAcct41111Sg">'[11]Functional Study'!#REF!</definedName>
    <definedName name="UAcct41111Sgpp">'[11]Functional Study'!#REF!</definedName>
    <definedName name="UAcct41111So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>'[8]Func Study'!#REF!</definedName>
    <definedName name="UAcct447CAGE">'[8]Func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>'[8]Func Study'!#REF!</definedName>
    <definedName name="UAcct506">'[10]Func Study'!$AB$455</definedName>
    <definedName name="UAcct506CAGE">'[10]Func Study'!$AB$452</definedName>
    <definedName name="UAcct506JBG">'[8]Func Study'!#REF!</definedName>
    <definedName name="UAcct507">'[10]Func Study'!$AB$464</definedName>
    <definedName name="UAcct507CAGE">'[10]Func Study'!$AB$462</definedName>
    <definedName name="UAcct507JBG">'[8]Func Study'!#REF!</definedName>
    <definedName name="UAcct510">'[10]Func Study'!$AB$469</definedName>
    <definedName name="UAcct510CAGE">'[10]Func Study'!$AB$467</definedName>
    <definedName name="UAcct510JBG">'[8]Func Study'!#REF!</definedName>
    <definedName name="UAcct511">'[10]Func Study'!$AB$474</definedName>
    <definedName name="UAcct511CAGE">'[10]Func Study'!$AB$472</definedName>
    <definedName name="UAcct511JBG">'[8]Func Study'!#REF!</definedName>
    <definedName name="UAcct512">'[10]Func Study'!$AB$479</definedName>
    <definedName name="UAcct512CAGE">'[10]Func Study'!$AB$477</definedName>
    <definedName name="UAcct512JBG">'[8]Func Study'!#REF!</definedName>
    <definedName name="UAcct513">'[10]Func Study'!$AB$484</definedName>
    <definedName name="UAcct513CAGE">'[10]Func Study'!$AB$482</definedName>
    <definedName name="UAcct513JBG">'[8]Func Study'!#REF!</definedName>
    <definedName name="UAcct514">'[10]Func Study'!$AB$489</definedName>
    <definedName name="UAcct514CAGE">'[10]Func Study'!$AB$487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>'[8]Func Study'!#REF!</definedName>
    <definedName name="UAcct555CAEW">'[10]Func Study'!$AB$665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>'[10]Func Study'!#REF!</definedName>
    <definedName name="UAcctdfad">'[10]Func Study'!#REF!</definedName>
    <definedName name="UAcctdfap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>#REF!</definedName>
    <definedName name="UncollectibleAccounts">[14]Variables!$D$25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[14]Variables!$D$29</definedName>
    <definedName name="v" localSheetId="10" hidden="1">{#N/A,#N/A,FALSE,"Coversheet";#N/A,#N/A,FALSE,"QA"}</definedName>
    <definedName name="v" localSheetId="15" hidden="1">{#N/A,#N/A,FALSE,"Coversheet";#N/A,#N/A,FALSE,"QA"}</definedName>
    <definedName name="v" localSheetId="0" hidden="1">{#N/A,#N/A,FALSE,"Coversheet";#N/A,#N/A,FALSE,"QA"}</definedName>
    <definedName name="v" hidden="1">{#N/A,#N/A,FALSE,"Coversheet";#N/A,#N/A,FALSE,"QA"}</definedName>
    <definedName name="ValidAccount">[13]Variables!$AK$43:$AK$369</definedName>
    <definedName name="Value" localSheetId="10" hidden="1">{#N/A,#N/A,FALSE,"Summ";#N/A,#N/A,FALSE,"General"}</definedName>
    <definedName name="Value" localSheetId="15" hidden="1">{#N/A,#N/A,FALSE,"Summ";#N/A,#N/A,FALSE,"General"}</definedName>
    <definedName name="Value" localSheetId="0" hidden="1">{#N/A,#N/A,FALSE,"Summ";#N/A,#N/A,FALSE,"General"}</definedName>
    <definedName name="Value" hidden="1">{#N/A,#N/A,FALSE,"Summ";#N/A,#N/A,FALSE,"General"}</definedName>
    <definedName name="VAR" localSheetId="21">[16]Backup!#REF!</definedName>
    <definedName name="VAR" localSheetId="19">[16]Backup!#REF!</definedName>
    <definedName name="VAR">[16]Backup!#REF!</definedName>
    <definedName name="VARIABLE">[22]Summary!#REF!</definedName>
    <definedName name="VOUCHER" localSheetId="21">#REF!</definedName>
    <definedName name="VOUCHER" localSheetId="19">#REF!</definedName>
    <definedName name="VOUCHER">#REF!</definedName>
    <definedName name="w" localSheetId="10" hidden="1">[32]Inputs!#REF!</definedName>
    <definedName name="w" localSheetId="15" hidden="1">[33]Inputs!#REF!</definedName>
    <definedName name="w" localSheetId="0" hidden="1">[32]Inputs!#REF!</definedName>
    <definedName name="w" hidden="1">[32]Inputs!#REF!</definedName>
    <definedName name="WaRevenueTax">[14]Variables!$D$27</definedName>
    <definedName name="we" localSheetId="10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10" hidden="1">{#N/A,#N/A,FALSE,"Coversheet";#N/A,#N/A,FALSE,"QA"}</definedName>
    <definedName name="WH" localSheetId="15" hidden="1">{#N/A,#N/A,FALSE,"Coversheet";#N/A,#N/A,FALSE,"QA"}</definedName>
    <definedName name="WH" localSheetId="0" hidden="1">{#N/A,#N/A,FALSE,"Coversheet";#N/A,#N/A,FALSE,"QA"}</definedName>
    <definedName name="WH" hidden="1">{#N/A,#N/A,FALSE,"Coversheet";#N/A,#N/A,FALSE,"QA"}</definedName>
    <definedName name="WIDTH" localSheetId="21">#REF!</definedName>
    <definedName name="WIDTH" localSheetId="19">#REF!</definedName>
    <definedName name="WIDTH">#REF!</definedName>
    <definedName name="WinterPeak">'[34]Load Data'!$D$9:$H$12,'[34]Load Data'!$D$20:$H$22</definedName>
    <definedName name="WORK1" localSheetId="21">#REF!</definedName>
    <definedName name="WORK1" localSheetId="19">#REF!</definedName>
    <definedName name="WORK1">#REF!</definedName>
    <definedName name="WORK2" localSheetId="21">#REF!</definedName>
    <definedName name="WORK2" localSheetId="19">#REF!</definedName>
    <definedName name="WORK2">#REF!</definedName>
    <definedName name="WORK3" localSheetId="21">#REF!</definedName>
    <definedName name="WORK3" localSheetId="19">#REF!</definedName>
    <definedName name="WORK3">#REF!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5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10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0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10" hidden="1">{"Page 3.4.1",#N/A,FALSE,"Totals";"Page 3.4.2",#N/A,FALSE,"Totals"}</definedName>
    <definedName name="wrn.Adj._.Back_Up." localSheetId="15" hidden="1">{"Page 3.4.1",#N/A,FALSE,"Totals";"Page 3.4.2",#N/A,FALSE,"Totals"}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10" hidden="1">{#N/A,#N/A,FALSE,"Summary EPS";#N/A,#N/A,FALSE,"1st Qtr Electric";#N/A,#N/A,FALSE,"1st Qtr Australia";#N/A,#N/A,FALSE,"1st Qtr Telecom";#N/A,#N/A,FALSE,"1st QTR Other"}</definedName>
    <definedName name="wrn.ALL." localSheetId="15" hidden="1">{#N/A,#N/A,FALSE,"Summary EPS";#N/A,#N/A,FALSE,"1st Qtr Electric";#N/A,#N/A,FALSE,"1st Qtr Australia";#N/A,#N/A,FALSE,"1st Qtr Telecom";#N/A,#N/A,FALSE,"1st QTR Other"}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5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5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0" hidden="1">{#N/A,#N/A,FALSE,"cover";#N/A,#N/A,FALSE,"lead sheet";#N/A,#N/A,FALSE,"Adj backup";#N/A,#N/A,FALSE,"t Accounts"}</definedName>
    <definedName name="wrn.All._.Pages." localSheetId="15" hidden="1">{#N/A,#N/A,FALSE,"cover";#N/A,#N/A,FALSE,"lead sheet";#N/A,#N/A,FALSE,"Adj backup";#N/A,#N/A,FALSE,"t Accounts"}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5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0" hidden="1">{"YTD-Total",#N/A,TRUE,"Provision";"YTD-Utility",#N/A,TRUE,"Prov Utility";"YTD-NonUtility",#N/A,TRUE,"Prov NonUtility"}</definedName>
    <definedName name="wrn.Combined._.YTD." localSheetId="15" hidden="1">{"YTD-Total",#N/A,TRUE,"Provision";"YTD-Utility",#N/A,TRUE,"Prov Utility";"YTD-NonUtility",#N/A,TRUE,"Prov NonUtility"}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0" hidden="1">{"Conol gross povision grouped",#N/A,FALSE,"Consol Gross";"Consol Gross Grouped",#N/A,FALSE,"Consol Gross"}</definedName>
    <definedName name="wrn.ConsolGrossGrp." localSheetId="15" hidden="1">{"Conol gross povision grouped",#N/A,FALSE,"Consol Gross";"Consol Gross Grouped",#N/A,FALSE,"Consol Gross"}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0" hidden="1">{#N/A,#N/A,TRUE,"Cover";#N/A,#N/A,TRUE,"Contents"}</definedName>
    <definedName name="wrn.Cover." localSheetId="15" hidden="1">{#N/A,#N/A,TRUE,"Cover";#N/A,#N/A,TRUE,"Contents"}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10" hidden="1">{#N/A,#N/A,FALSE,"Cover";#N/A,#N/A,FALSE,"Contents"}</definedName>
    <definedName name="wrn.CoverContents." localSheetId="15" hidden="1">{#N/A,#N/A,FALSE,"Cover";#N/A,#N/A,FALSE,"Contents"}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0" hidden="1">{#N/A,#N/A,FALSE,"schA"}</definedName>
    <definedName name="wrn.ECR." localSheetId="15" hidden="1">{#N/A,#N/A,FALSE,"schA"}</definedName>
    <definedName name="wrn.ECR." localSheetId="0" hidden="1">{#N/A,#N/A,FALSE,"schA"}</definedName>
    <definedName name="wrn.ECR." hidden="1">{#N/A,#N/A,FALSE,"schA"}</definedName>
    <definedName name="wrn.El._.Paso._.Offshore." localSheetId="1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1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10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10" hidden="1">{#N/A,#N/A,FALSE,"Output Ass";#N/A,#N/A,FALSE,"Sum Tot";#N/A,#N/A,FALSE,"Ex Sum Year";#N/A,#N/A,FALSE,"Sum Qtr"}</definedName>
    <definedName name="wrn.Exec._.Summary." localSheetId="15" hidden="1">{#N/A,#N/A,FALSE,"Output Ass";#N/A,#N/A,FALSE,"Sum Tot";#N/A,#N/A,FALSE,"Ex Sum Year";#N/A,#N/A,FALSE,"Sum Qtr"}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5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0" hidden="1">{"FullView",#N/A,FALSE,"Consltd-For contngcy"}</definedName>
    <definedName name="wrn.Full._.View." localSheetId="15" hidden="1">{"FullView",#N/A,FALSE,"Consltd-For contngcy"}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10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0" hidden="1">{#N/A,#N/A,TRUE,"CoverPage";#N/A,#N/A,TRUE,"Gas";#N/A,#N/A,TRUE,"Power";#N/A,#N/A,TRUE,"Historical DJ Mthly Prices"}</definedName>
    <definedName name="wrn.Fundamental2" localSheetId="15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5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10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0" hidden="1">{#N/A,#N/A,FALSE,"Coversheet";#N/A,#N/A,FALSE,"QA"}</definedName>
    <definedName name="wrn.Incentive._.Overhead." localSheetId="15" hidden="1">{#N/A,#N/A,FALSE,"Coversheet";#N/A,#N/A,FALSE,"QA"}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fe.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5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10" hidden="1">{#N/A,#N/A,FALSE,"Schedule F";#N/A,#N/A,FALSE,"Schedule G"}</definedName>
    <definedName name="wrn.limit_reports." localSheetId="15" hidden="1">{#N/A,#N/A,FALSE,"Schedule F";#N/A,#N/A,FALSE,"Schedule G"}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10" hidden="1">{#N/A,#N/A,TRUE,"Filing Back-Up Pages_4.8.4-7";#N/A,#N/A,TRUE,"GI Back-up Page_4.8.8"}</definedName>
    <definedName name="wrn.new." localSheetId="15" hidden="1">{#N/A,#N/A,TRUE,"Filing Back-Up Pages_4.8.4-7";#N/A,#N/A,TRUE,"GI Back-up Page_4.8.8"}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10" hidden="1">{#N/A,#N/A,TRUE,"Detail Lead Sheet_4.8.1-3";#N/A,#N/A,TRUE,"Filing Back-Up Pages_4.8.4-7";#N/A,#N/A,TRUE,"GI Back-up Page_4.8.8"}</definedName>
    <definedName name="wrn.om." localSheetId="15" hidden="1">{#N/A,#N/A,TRUE,"Detail Lead Sheet_4.8.1-3";#N/A,#N/A,TRUE,"Filing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0" hidden="1">{"Open issues Only",#N/A,FALSE,"TIMELINE"}</definedName>
    <definedName name="wrn.Open._.Issues._.Only." localSheetId="15" hidden="1">{"Open issues Only",#N/A,FALSE,"TIMELINE"}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10" hidden="1">{#N/A,#N/A,FALSE,"Loans";#N/A,#N/A,FALSE,"Program Costs";#N/A,#N/A,FALSE,"Measures";#N/A,#N/A,FALSE,"Net Lost Rev";#N/A,#N/A,FALSE,"Incentive"}</definedName>
    <definedName name="wrn.OR._.Carrying._.Charge._.JV." localSheetId="15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0" hidden="1">{#N/A,#N/A,FALSE,"Loans";#N/A,#N/A,FALSE,"Program Costs";#N/A,#N/A,FALSE,"Measures";#N/A,#N/A,FALSE,"Net Lost Rev";#N/A,#N/A,FALSE,"Incentive"}</definedName>
    <definedName name="wrn.OR._.Carrying._.Charge._.JV.1" localSheetId="15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5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0" hidden="1">{#N/A,#N/A,FALSE,"Consltd-For contngcy";"PaymentView",#N/A,FALSE,"Consltd-For contngcy"}</definedName>
    <definedName name="wrn.Payment._.View." localSheetId="15" hidden="1">{#N/A,#N/A,FALSE,"Consltd-For contngcy";"PaymentView",#N/A,FALSE,"Consltd-For contngcy"}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0" hidden="1">{"PFS recon view",#N/A,FALSE,"Hyperion Proof"}</definedName>
    <definedName name="wrn.PFSreconview." localSheetId="15" hidden="1">{"PFS recon view",#N/A,FALSE,"Hyperion Proof"}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10" hidden="1">{"PGHC recon view",#N/A,FALSE,"Hyperion Proof"}</definedName>
    <definedName name="wrn.PGHCreconview." localSheetId="15" hidden="1">{"PGHC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10" hidden="1">{#N/A,#N/A,FALSE,"PHI MTD";#N/A,#N/A,FALSE,"PHI YTD"}</definedName>
    <definedName name="wrn.PHI._.all._.other._.months." localSheetId="15" hidden="1">{#N/A,#N/A,FALSE,"PHI MTD";#N/A,#N/A,FALSE,"PHI YTD"}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10" hidden="1">{#N/A,#N/A,FALSE,"PHI"}</definedName>
    <definedName name="wrn.PHI._.only." localSheetId="15" hidden="1">{#N/A,#N/A,FALSE,"PHI"}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10" hidden="1">{#N/A,#N/A,FALSE,"PHI MTD";#N/A,#N/A,FALSE,"PHI QTD";#N/A,#N/A,FALSE,"PHI YTD"}</definedName>
    <definedName name="wrn.PHI._.Sept._.Dec._.March." localSheetId="15" hidden="1">{#N/A,#N/A,FALSE,"PHI MTD";#N/A,#N/A,FALSE,"PHI QTD";#N/A,#N/A,FALSE,"PHI YTD"}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0" hidden="1">{"PPM Co Code View",#N/A,FALSE,"Comp Codes"}</definedName>
    <definedName name="wrn.PPMCoCodeView." localSheetId="15" hidden="1">{"PPM Co Code View",#N/A,FALSE,"Comp Codes"}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10" hidden="1">{"PPM Recon View",#N/A,FALSE,"Hyperion Proof"}</definedName>
    <definedName name="wrn.PPMreconview." localSheetId="15" hidden="1">{"PPM Recon View",#N/A,FALSE,"Hyperion Proof"}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1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1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0" hidden="1">{"DATA_SET",#N/A,FALSE,"HOURLY SPREAD"}</definedName>
    <definedName name="wrn.PRINT._.SOURCE._.DATA." localSheetId="15" hidden="1">{"DATA_SET",#N/A,FALSE,"HOURLY SPREAD"}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1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1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0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1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10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10" hidden="1">{"Electric Only",#N/A,FALSE,"Hyperion Proof"}</definedName>
    <definedName name="wrn.ProofElectricOnly." localSheetId="15" hidden="1">{"Electric Only",#N/A,FALSE,"Hyperion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10" hidden="1">{"Proof Total",#N/A,FALSE,"Hyperion Proof"}</definedName>
    <definedName name="wrn.ProofTotal." localSheetId="15" hidden="1">{"Proof Total",#N/A,FALSE,"Hyperion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10" hidden="1">{#N/A,#N/A,FALSE,"Dec 1999 mapping"}</definedName>
    <definedName name="wrn.Reformat._.only." localSheetId="15" hidden="1">{#N/A,#N/A,FALSE,"Dec 1999 mapping"}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10" hidden="1">{#N/A,#N/A,FALSE,"7617 Fab";#N/A,#N/A,FALSE,"7617 NSK"}</definedName>
    <definedName name="wrn.SCHEDULE." localSheetId="15" hidden="1">{#N/A,#N/A,FALSE,"7617 Fab";#N/A,#N/A,FALSE,"7617 NSK"}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ction1." localSheetId="1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1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0" hidden="1">{#N/A,#N/A,TRUE,"Section1";#N/A,#N/A,TRUE,"SumF";#N/A,#N/A,TRUE,"FigExchange";#N/A,#N/A,TRUE,"Escalation";#N/A,#N/A,TRUE,"GraphEscalate";#N/A,#N/A,TRUE,"Scenarios"}</definedName>
    <definedName name="wrn.Section1Summaries." localSheetId="15" hidden="1">{#N/A,#N/A,TRUE,"Section1";#N/A,#N/A,TRUE,"SumF";#N/A,#N/A,TRUE,"FigExchange";#N/A,#N/A,TRUE,"Escalation";#N/A,#N/A,TRUE,"GraphEscalate";#N/A,#N/A,TRUE,"Scenarios"}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1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1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1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1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1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0" hidden="1">{#N/A,#N/A,TRUE,"Section4";#N/A,#N/A,TRUE,"PPAtable";#N/A,#N/A,TRUE,"RFPtable";#N/A,#N/A,TRUE,"RevCap";#N/A,#N/A,TRUE,"RevOther";#N/A,#N/A,TRUE,"RevGas";#N/A,#N/A,TRUE,"GraphRev"}</definedName>
    <definedName name="wrn.Section4Revenue." localSheetId="15" hidden="1">{#N/A,#N/A,TRUE,"Section4";#N/A,#N/A,TRUE,"PPAtable";#N/A,#N/A,TRUE,"RFPtable";#N/A,#N/A,TRUE,"RevCap";#N/A,#N/A,TRUE,"RevOther";#N/A,#N/A,TRUE,"RevGas";#N/A,#N/A,TRUE,"GraphRev"}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1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0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1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0" hidden="1">{#N/A,#N/A,TRUE,"Section7";#N/A,#N/A,TRUE,"DebtService";#N/A,#N/A,TRUE,"LoanSchedules";#N/A,#N/A,TRUE,"GraphDebt"}</definedName>
    <definedName name="wrn.Section7DebtService." localSheetId="15" hidden="1">{#N/A,#N/A,TRUE,"Section7";#N/A,#N/A,TRUE,"DebtService";#N/A,#N/A,TRUE,"LoanSchedules";#N/A,#N/A,TRUE,"GraphDebt"}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5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0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1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1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10" hidden="1">{"YTD-Total",#N/A,FALSE,"Provision"}</definedName>
    <definedName name="wrn.Standard." localSheetId="15" hidden="1">{"YTD-Total",#N/A,FALSE,"Provision"}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10" hidden="1">{"YTD-NonUtility",#N/A,FALSE,"Prov NonUtility"}</definedName>
    <definedName name="wrn.Standard._.NonUtility._.Only." localSheetId="15" hidden="1">{"YTD-NonUtility",#N/A,FALSE,"Prov NonUtility"}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10" hidden="1">{"YTD-Utility",#N/A,FALSE,"Prov Utility"}</definedName>
    <definedName name="wrn.Standard._.Utility._.Only." localSheetId="15" hidden="1">{"YTD-Utility",#N/A,FALSE,"Prov 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10" hidden="1">{#N/A,#N/A,FALSE,"Sum Qtr";#N/A,#N/A,FALSE,"Oper Sum";#N/A,#N/A,FALSE,"Land Sales";#N/A,#N/A,FALSE,"Finance";#N/A,#N/A,FALSE,"Oper Ass"}</definedName>
    <definedName name="wrn.Summary." localSheetId="15" hidden="1">{#N/A,#N/A,FALSE,"Sum Qtr";#N/A,#N/A,FALSE,"Oper Sum";#N/A,#N/A,FALSE,"Land Sales";#N/A,#N/A,FALSE,"Finance";#N/A,#N/A,FALSE,"Oper Ass"}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0" hidden="1">{#N/A,#N/A,FALSE,"Consltd-For contngcy"}</definedName>
    <definedName name="wrn.Summary._.View." localSheetId="15" hidden="1">{#N/A,#N/A,FALSE,"Consltd-For contngcy"}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10" hidden="1">{"Total Summary",#N/A,FALSE,"Summary"}</definedName>
    <definedName name="wrn.Total._.Summary." localSheetId="15" hidden="1">{"Total Summary",#N/A,FALSE,"Summary"}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10" hidden="1">{#N/A,#N/A,FALSE,"Dec 1999 UK Continuing Ops"}</definedName>
    <definedName name="wrn.UK._.Conversion._.Only." localSheetId="15" hidden="1">{#N/A,#N/A,FALSE,"Dec 1999 UK Continuing Ops"}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0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10" hidden="1">{#N/A,#N/A,FALSE,"schA"}</definedName>
    <definedName name="www" localSheetId="15" hidden="1">{#N/A,#N/A,FALSE,"schA"}</definedName>
    <definedName name="www" localSheetId="0" hidden="1">{#N/A,#N/A,FALSE,"schA"}</definedName>
    <definedName name="www" hidden="1">{#N/A,#N/A,FALSE,"schA"}</definedName>
    <definedName name="x">'[35]Weather Present'!$K$7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5" hidden="1">#REF!</definedName>
    <definedName name="y" hidden="1">'[3]DSM Output'!$B$21:$B$23</definedName>
    <definedName name="Year" localSheetId="21">#REF!</definedName>
    <definedName name="Year" localSheetId="19">#REF!</definedName>
    <definedName name="Year">#REF!</definedName>
    <definedName name="YearEndFactors">[15]UTCR!$G$22:$U$108</definedName>
    <definedName name="YearEndInput">[15]Inputs!$A$3:$D$1668</definedName>
    <definedName name="YEFactors">[13]Factors!$S$3:$AG$99</definedName>
    <definedName name="yuf" localSheetId="10" hidden="1">{#N/A,#N/A,FALSE,"Summ";#N/A,#N/A,FALSE,"General"}</definedName>
    <definedName name="yuf" localSheetId="15" hidden="1">{#N/A,#N/A,FALSE,"Summ";#N/A,#N/A,FALSE,"General"}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15" hidden="1">#REF!</definedName>
    <definedName name="z" hidden="1">'[3]DSM Output'!$G$21:$G$23</definedName>
    <definedName name="Z_01844156_6462_4A28_9785_1A86F4D0C834_.wvu.PrintTitles" localSheetId="10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_42E97926_E608_454B_8BAC_0CDB06A413D8_.wvu.PrintTitles" localSheetId="14" hidden="1">'Normalized Summary'!$B$2:$S$7</definedName>
    <definedName name="ZA">'[36] annual balance 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2835" l="1"/>
  <c r="E10" i="12835"/>
  <c r="E9" i="12835"/>
  <c r="E8" i="12835"/>
  <c r="D31" i="12835"/>
  <c r="D30" i="12835"/>
  <c r="C11" i="12835"/>
  <c r="C10" i="12835"/>
  <c r="C9" i="12835"/>
  <c r="C8" i="12835"/>
  <c r="J7" i="12835"/>
  <c r="L7" i="12835" s="1"/>
  <c r="E14" i="12835"/>
  <c r="E15" i="12835"/>
  <c r="E16" i="12835"/>
  <c r="E17" i="12835"/>
  <c r="E18" i="12835"/>
  <c r="E19" i="12835"/>
  <c r="E13" i="12835"/>
  <c r="E12" i="12835"/>
  <c r="D13" i="12835"/>
  <c r="I13" i="12835" s="1"/>
  <c r="D14" i="12835"/>
  <c r="I14" i="12835" s="1"/>
  <c r="D15" i="12835"/>
  <c r="F15" i="12835" s="1"/>
  <c r="D16" i="12835"/>
  <c r="F16" i="12835" s="1"/>
  <c r="D17" i="12835"/>
  <c r="I17" i="12835" s="1"/>
  <c r="D18" i="12835"/>
  <c r="F18" i="12835" s="1"/>
  <c r="D19" i="12835"/>
  <c r="I19" i="12835" s="1"/>
  <c r="D12" i="12835"/>
  <c r="I12" i="12835" s="1"/>
  <c r="J12" i="12835" s="1"/>
  <c r="L12" i="12835" s="1"/>
  <c r="D7" i="12835"/>
  <c r="F7" i="12835" s="1"/>
  <c r="G16" i="12835" l="1"/>
  <c r="H16" i="12835" s="1"/>
  <c r="I16" i="12835"/>
  <c r="K16" i="12835" s="1"/>
  <c r="G15" i="12835"/>
  <c r="H15" i="12835" s="1"/>
  <c r="I7" i="12835"/>
  <c r="K7" i="12835" s="1"/>
  <c r="M7" i="12835" s="1"/>
  <c r="N7" i="12835" s="1"/>
  <c r="F17" i="12835"/>
  <c r="G17" i="12835" s="1"/>
  <c r="H17" i="12835" s="1"/>
  <c r="I15" i="12835"/>
  <c r="K15" i="12835" s="1"/>
  <c r="F12" i="12835"/>
  <c r="G12" i="12835" s="1"/>
  <c r="H12" i="12835" s="1"/>
  <c r="F13" i="12835"/>
  <c r="G13" i="12835" s="1"/>
  <c r="H13" i="12835" s="1"/>
  <c r="J13" i="12835"/>
  <c r="L13" i="12835" s="1"/>
  <c r="K13" i="12835"/>
  <c r="J14" i="12835"/>
  <c r="L14" i="12835" s="1"/>
  <c r="K14" i="12835"/>
  <c r="J19" i="12835"/>
  <c r="L19" i="12835" s="1"/>
  <c r="K19" i="12835"/>
  <c r="K17" i="12835"/>
  <c r="J17" i="12835"/>
  <c r="L17" i="12835" s="1"/>
  <c r="G18" i="12835"/>
  <c r="H18" i="12835" s="1"/>
  <c r="I18" i="12835"/>
  <c r="F19" i="12835"/>
  <c r="G19" i="12835" s="1"/>
  <c r="H19" i="12835" s="1"/>
  <c r="F14" i="12835"/>
  <c r="G14" i="12835" s="1"/>
  <c r="H14" i="12835" s="1"/>
  <c r="O12" i="12835"/>
  <c r="P12" i="12835" s="1"/>
  <c r="K12" i="12835"/>
  <c r="M12" i="12835" s="1"/>
  <c r="N12" i="12835" s="1"/>
  <c r="J16" i="12835" l="1"/>
  <c r="L16" i="12835" s="1"/>
  <c r="M16" i="12835" s="1"/>
  <c r="N16" i="12835" s="1"/>
  <c r="J15" i="12835"/>
  <c r="L15" i="12835" s="1"/>
  <c r="M15" i="12835" s="1"/>
  <c r="N15" i="12835" s="1"/>
  <c r="K18" i="12835"/>
  <c r="J18" i="12835"/>
  <c r="L18" i="12835" s="1"/>
  <c r="M19" i="12835"/>
  <c r="N19" i="12835" s="1"/>
  <c r="O19" i="12835"/>
  <c r="P19" i="12835" s="1"/>
  <c r="M14" i="12835"/>
  <c r="N14" i="12835" s="1"/>
  <c r="O14" i="12835"/>
  <c r="P14" i="12835" s="1"/>
  <c r="M13" i="12835"/>
  <c r="N13" i="12835" s="1"/>
  <c r="O13" i="12835"/>
  <c r="P13" i="12835" s="1"/>
  <c r="M17" i="12835"/>
  <c r="N17" i="12835" s="1"/>
  <c r="O17" i="12835"/>
  <c r="P17" i="12835" s="1"/>
  <c r="O16" i="12835" l="1"/>
  <c r="P16" i="12835" s="1"/>
  <c r="O15" i="12835"/>
  <c r="P15" i="12835" s="1"/>
  <c r="M18" i="12835"/>
  <c r="N18" i="12835" s="1"/>
  <c r="O18" i="12835"/>
  <c r="P18" i="12835" s="1"/>
  <c r="C7" i="12835" l="1"/>
  <c r="E7" i="12835" s="1"/>
  <c r="T108" i="12821"/>
  <c r="T109" i="12821"/>
  <c r="T110" i="12821"/>
  <c r="T111" i="12821"/>
  <c r="T112" i="12821"/>
  <c r="T113" i="12821"/>
  <c r="T114" i="12821"/>
  <c r="T107" i="12821"/>
  <c r="H135" i="12827"/>
  <c r="H136" i="12827"/>
  <c r="H137" i="12827"/>
  <c r="H138" i="12827"/>
  <c r="H139" i="12827"/>
  <c r="H140" i="12827"/>
  <c r="H141" i="12827"/>
  <c r="H142" i="12827"/>
  <c r="H143" i="12827"/>
  <c r="H144" i="12827"/>
  <c r="H145" i="12827"/>
  <c r="H146" i="12827"/>
  <c r="H147" i="12827"/>
  <c r="H148" i="12827"/>
  <c r="H149" i="12827"/>
  <c r="H150" i="12827"/>
  <c r="H151" i="12827"/>
  <c r="H152" i="12827"/>
  <c r="H134" i="12827"/>
  <c r="H84" i="12827"/>
  <c r="H85" i="12827"/>
  <c r="H86" i="12827"/>
  <c r="H87" i="12827"/>
  <c r="H88" i="12827"/>
  <c r="H89" i="12827"/>
  <c r="H90" i="12827"/>
  <c r="H91" i="12827"/>
  <c r="H92" i="12827"/>
  <c r="H93" i="12827"/>
  <c r="H94" i="12827"/>
  <c r="H95" i="12827"/>
  <c r="H96" i="12827"/>
  <c r="H97" i="12827"/>
  <c r="H98" i="12827"/>
  <c r="H99" i="12827"/>
  <c r="H100" i="12827"/>
  <c r="H101" i="12827"/>
  <c r="H83" i="12827"/>
  <c r="T102" i="12823"/>
  <c r="T103" i="12823"/>
  <c r="T104" i="12823"/>
  <c r="T105" i="12823"/>
  <c r="T106" i="12823"/>
  <c r="T107" i="12823"/>
  <c r="T108" i="12823"/>
  <c r="T109" i="12823"/>
  <c r="T110" i="12823"/>
  <c r="T111" i="12823"/>
  <c r="T101" i="12823"/>
  <c r="T61" i="12823"/>
  <c r="T62" i="12823"/>
  <c r="T63" i="12823"/>
  <c r="T64" i="12823"/>
  <c r="T65" i="12823"/>
  <c r="T66" i="12823"/>
  <c r="T67" i="12823"/>
  <c r="T68" i="12823"/>
  <c r="T69" i="12823"/>
  <c r="T70" i="12823"/>
  <c r="T60" i="12823"/>
  <c r="P58" i="12826"/>
  <c r="P59" i="12826"/>
  <c r="P60" i="12826"/>
  <c r="P61" i="12826"/>
  <c r="P62" i="12826"/>
  <c r="P57" i="12826"/>
  <c r="P35" i="12826"/>
  <c r="P36" i="12826"/>
  <c r="P37" i="12826"/>
  <c r="P38" i="12826"/>
  <c r="P39" i="12826"/>
  <c r="P34" i="12826"/>
  <c r="U179" i="12825"/>
  <c r="U178" i="12825"/>
  <c r="U177" i="12825"/>
  <c r="U176" i="12825"/>
  <c r="U175" i="12825"/>
  <c r="U159" i="12825"/>
  <c r="U160" i="12825"/>
  <c r="U161" i="12825"/>
  <c r="U162" i="12825"/>
  <c r="U163" i="12825"/>
  <c r="U164" i="12825"/>
  <c r="U165" i="12825"/>
  <c r="U166" i="12825"/>
  <c r="U167" i="12825"/>
  <c r="U168" i="12825"/>
  <c r="U169" i="12825"/>
  <c r="U170" i="12825"/>
  <c r="U171" i="12825"/>
  <c r="U172" i="12825"/>
  <c r="U173" i="12825"/>
  <c r="U158" i="12825"/>
  <c r="U113" i="12825"/>
  <c r="U112" i="12825"/>
  <c r="U111" i="12825"/>
  <c r="U110" i="12825"/>
  <c r="U109" i="12825"/>
  <c r="U93" i="12825"/>
  <c r="U94" i="12825"/>
  <c r="U95" i="12825"/>
  <c r="U96" i="12825"/>
  <c r="U97" i="12825"/>
  <c r="U98" i="12825"/>
  <c r="U99" i="12825"/>
  <c r="U100" i="12825"/>
  <c r="U101" i="12825"/>
  <c r="U102" i="12825"/>
  <c r="U103" i="12825"/>
  <c r="U104" i="12825"/>
  <c r="U105" i="12825"/>
  <c r="U106" i="12825"/>
  <c r="U107" i="12825"/>
  <c r="U92" i="12825"/>
  <c r="T179" i="12822"/>
  <c r="T178" i="12822"/>
  <c r="T177" i="12822"/>
  <c r="T167" i="12822"/>
  <c r="T168" i="12822"/>
  <c r="T169" i="12822"/>
  <c r="T170" i="12822"/>
  <c r="T171" i="12822"/>
  <c r="T172" i="12822"/>
  <c r="T173" i="12822"/>
  <c r="T166" i="12822"/>
  <c r="T115" i="12822"/>
  <c r="T116" i="12822"/>
  <c r="T114" i="12822"/>
  <c r="T104" i="12822"/>
  <c r="T105" i="12822"/>
  <c r="T106" i="12822"/>
  <c r="T107" i="12822"/>
  <c r="T108" i="12822"/>
  <c r="T109" i="12822"/>
  <c r="T110" i="12822"/>
  <c r="T103" i="12822"/>
  <c r="T206" i="12821"/>
  <c r="T193" i="12821"/>
  <c r="T194" i="12821"/>
  <c r="T195" i="12821"/>
  <c r="T196" i="12821"/>
  <c r="T197" i="12821"/>
  <c r="T198" i="12821"/>
  <c r="T199" i="12821"/>
  <c r="T200" i="12821"/>
  <c r="T201" i="12821"/>
  <c r="T202" i="12821"/>
  <c r="T192" i="12821"/>
  <c r="T129" i="12821"/>
  <c r="T116" i="12821"/>
  <c r="T117" i="12821"/>
  <c r="T118" i="12821"/>
  <c r="T119" i="12821"/>
  <c r="T120" i="12821"/>
  <c r="T121" i="12821"/>
  <c r="T122" i="12821"/>
  <c r="T123" i="12821"/>
  <c r="T124" i="12821"/>
  <c r="T125" i="12821"/>
  <c r="T115" i="12821"/>
  <c r="R65" i="12820"/>
  <c r="R66" i="12820"/>
  <c r="R67" i="12820"/>
  <c r="R68" i="12820"/>
  <c r="R69" i="12820"/>
  <c r="R70" i="12820"/>
  <c r="R71" i="12820"/>
  <c r="R64" i="12820"/>
  <c r="R41" i="12820"/>
  <c r="R42" i="12820"/>
  <c r="R43" i="12820"/>
  <c r="R44" i="12820"/>
  <c r="R45" i="12820"/>
  <c r="R46" i="12820"/>
  <c r="R47" i="12820"/>
  <c r="R40" i="12820"/>
  <c r="T94" i="12823"/>
  <c r="T95" i="12823"/>
  <c r="T96" i="12823"/>
  <c r="T97" i="12823"/>
  <c r="T98" i="12823"/>
  <c r="T99" i="12823"/>
  <c r="T100" i="12823"/>
  <c r="T93" i="12823"/>
  <c r="T54" i="12823"/>
  <c r="T55" i="12823"/>
  <c r="T56" i="12823"/>
  <c r="T57" i="12823"/>
  <c r="T58" i="12823"/>
  <c r="T59" i="12823"/>
  <c r="T53" i="12823"/>
  <c r="P52" i="12826"/>
  <c r="P53" i="12826"/>
  <c r="P54" i="12826"/>
  <c r="P55" i="12826"/>
  <c r="P56" i="12826"/>
  <c r="P51" i="12826"/>
  <c r="P30" i="12826"/>
  <c r="P31" i="12826"/>
  <c r="P32" i="12826"/>
  <c r="P33" i="12826"/>
  <c r="P29" i="12826"/>
  <c r="U153" i="12825"/>
  <c r="U154" i="12825"/>
  <c r="U155" i="12825"/>
  <c r="U156" i="12825"/>
  <c r="U157" i="12825"/>
  <c r="U152" i="12825"/>
  <c r="U88" i="12825"/>
  <c r="U89" i="12825"/>
  <c r="U90" i="12825"/>
  <c r="U91" i="12825"/>
  <c r="U87" i="12825"/>
  <c r="T158" i="12822"/>
  <c r="T159" i="12822"/>
  <c r="T160" i="12822"/>
  <c r="T161" i="12822"/>
  <c r="T162" i="12822"/>
  <c r="T163" i="12822"/>
  <c r="T164" i="12822"/>
  <c r="T165" i="12822"/>
  <c r="T157" i="12822"/>
  <c r="T96" i="12822"/>
  <c r="T97" i="12822"/>
  <c r="T98" i="12822"/>
  <c r="T99" i="12822"/>
  <c r="T100" i="12822"/>
  <c r="T101" i="12822"/>
  <c r="T102" i="12822"/>
  <c r="T95" i="12822"/>
  <c r="T184" i="12821"/>
  <c r="T185" i="12821"/>
  <c r="T186" i="12821"/>
  <c r="T187" i="12821"/>
  <c r="T188" i="12821"/>
  <c r="T189" i="12821"/>
  <c r="T190" i="12821"/>
  <c r="T191" i="12821"/>
  <c r="T183" i="12821"/>
  <c r="R24" i="12834"/>
  <c r="G7" i="12835" l="1"/>
  <c r="H7" i="12835" s="1"/>
  <c r="O7" i="12835"/>
  <c r="P7" i="12835" s="1"/>
  <c r="E55" i="12834" a="1"/>
  <c r="E55" i="12834" s="1"/>
  <c r="E45" i="12834" a="1"/>
  <c r="E45" i="12834" s="1"/>
  <c r="D55" i="12834"/>
  <c r="D45" i="12834"/>
  <c r="O41" i="12834" l="1"/>
  <c r="O51" i="12834"/>
  <c r="O61" i="12834"/>
  <c r="O67" i="12834"/>
  <c r="O72" i="12834"/>
  <c r="K70" i="12834"/>
  <c r="K65" i="12834"/>
  <c r="K59" i="12834"/>
  <c r="K49" i="12834"/>
  <c r="K39" i="12834"/>
  <c r="V28" i="12820" l="1"/>
  <c r="X70" i="12820" s="1"/>
  <c r="X138" i="12821"/>
  <c r="W138" i="12821"/>
  <c r="S204" i="12821" l="1"/>
  <c r="S203" i="12821"/>
  <c r="S127" i="12821"/>
  <c r="S126" i="12821"/>
  <c r="X44" i="12820"/>
  <c r="X45" i="12820"/>
  <c r="X71" i="12820"/>
  <c r="X46" i="12820"/>
  <c r="X47" i="12820"/>
  <c r="X68" i="12820"/>
  <c r="X69" i="12820"/>
  <c r="AE78" i="12825" l="1"/>
  <c r="AE77" i="12825"/>
  <c r="V7" i="12833" l="1"/>
  <c r="W7" i="12833"/>
  <c r="X7" i="12833"/>
  <c r="Y7" i="12833"/>
  <c r="Z7" i="12833"/>
  <c r="AA7" i="12833"/>
  <c r="AB7" i="12833"/>
  <c r="U7" i="12833"/>
  <c r="M7" i="12833"/>
  <c r="N7" i="12833"/>
  <c r="O7" i="12833"/>
  <c r="P7" i="12833"/>
  <c r="Q7" i="12833"/>
  <c r="R7" i="12833"/>
  <c r="S7" i="12833"/>
  <c r="L7" i="12833"/>
  <c r="D70" i="12834" a="1"/>
  <c r="D70" i="12834" s="1"/>
  <c r="E70" i="12834"/>
  <c r="D63" i="12834" a="1"/>
  <c r="D63" i="12834" s="1"/>
  <c r="E63" i="12834"/>
  <c r="D64" i="12834" a="1"/>
  <c r="D64" i="12834" s="1"/>
  <c r="E64" i="12834"/>
  <c r="D65" i="12834" a="1"/>
  <c r="D65" i="12834" s="1"/>
  <c r="E65" i="12834"/>
  <c r="D57" i="12834" a="1"/>
  <c r="D57" i="12834" s="1"/>
  <c r="E57" i="12834"/>
  <c r="D58" i="12834" a="1"/>
  <c r="D58" i="12834" s="1"/>
  <c r="E58" i="12834"/>
  <c r="D59" i="12834" a="1"/>
  <c r="D59" i="12834" s="1"/>
  <c r="E59" i="12834"/>
  <c r="D47" i="12834" a="1"/>
  <c r="D47" i="12834" s="1"/>
  <c r="E47" i="12834"/>
  <c r="D48" i="12834" a="1"/>
  <c r="D48" i="12834" s="1"/>
  <c r="E48" i="12834"/>
  <c r="D49" i="12834" a="1"/>
  <c r="D49" i="12834" s="1"/>
  <c r="E49" i="12834"/>
  <c r="D37" i="12834" a="1"/>
  <c r="D37" i="12834" s="1"/>
  <c r="E37" i="12834"/>
  <c r="D38" i="12834" a="1"/>
  <c r="D38" i="12834" s="1"/>
  <c r="E38" i="12834"/>
  <c r="D39" i="12834" a="1"/>
  <c r="D39" i="12834" s="1"/>
  <c r="E39" i="12834"/>
  <c r="F3" i="12834"/>
  <c r="F28" i="12834"/>
  <c r="D23" i="12834" l="1"/>
  <c r="D21" i="12834"/>
  <c r="D22" i="12834"/>
  <c r="E22" i="12834"/>
  <c r="E23" i="12834"/>
  <c r="E21" i="12834"/>
  <c r="E51" i="12823" l="1"/>
  <c r="F51" i="12823" s="1"/>
  <c r="E52" i="12823"/>
  <c r="F52" i="12823" s="1"/>
  <c r="E53" i="12823"/>
  <c r="F53" i="12823" s="1"/>
  <c r="E54" i="12823"/>
  <c r="E55" i="12823"/>
  <c r="F55" i="12823" s="1"/>
  <c r="E56" i="12823"/>
  <c r="F56" i="12823" s="1"/>
  <c r="E57" i="12823"/>
  <c r="E58" i="12823"/>
  <c r="E59" i="12823"/>
  <c r="F59" i="12823" s="1"/>
  <c r="E60" i="12823"/>
  <c r="F60" i="12823" s="1"/>
  <c r="E61" i="12823"/>
  <c r="E62" i="12823"/>
  <c r="E63" i="12823"/>
  <c r="F63" i="12823" s="1"/>
  <c r="E64" i="12823"/>
  <c r="F64" i="12823" s="1"/>
  <c r="E65" i="12823"/>
  <c r="E66" i="12823"/>
  <c r="E67" i="12823"/>
  <c r="F67" i="12823" s="1"/>
  <c r="F65" i="12823" l="1"/>
  <c r="F58" i="12823"/>
  <c r="F66" i="12823"/>
  <c r="F62" i="12823"/>
  <c r="F61" i="12823"/>
  <c r="F57" i="12823"/>
  <c r="F54" i="12823"/>
  <c r="E50" i="12823"/>
  <c r="D9" i="12822"/>
  <c r="D10" i="12822"/>
  <c r="E10" i="12822" s="1"/>
  <c r="D11" i="12822"/>
  <c r="E11" i="12822" s="1"/>
  <c r="D12" i="12822"/>
  <c r="E12" i="12822" s="1"/>
  <c r="D13" i="12822"/>
  <c r="D14" i="12822"/>
  <c r="E14" i="12822" s="1"/>
  <c r="D15" i="12822"/>
  <c r="E15" i="12822" s="1"/>
  <c r="D16" i="12822"/>
  <c r="E16" i="12822" s="1"/>
  <c r="D17" i="12822"/>
  <c r="D18" i="12822"/>
  <c r="E18" i="12822" s="1"/>
  <c r="D19" i="12822"/>
  <c r="E19" i="12822" s="1"/>
  <c r="D20" i="12822"/>
  <c r="E20" i="12822" s="1"/>
  <c r="D21" i="12822"/>
  <c r="D22" i="12822"/>
  <c r="E22" i="12822" s="1"/>
  <c r="D23" i="12822"/>
  <c r="E23" i="12822" s="1"/>
  <c r="D24" i="12822"/>
  <c r="E24" i="12822" s="1"/>
  <c r="D25" i="12822"/>
  <c r="D26" i="12822"/>
  <c r="E26" i="12822" s="1"/>
  <c r="D27" i="12822"/>
  <c r="E27" i="12822" s="1"/>
  <c r="D28" i="12822"/>
  <c r="E28" i="12822" s="1"/>
  <c r="D8" i="12822"/>
  <c r="E8" i="12822" s="1"/>
  <c r="AB115" i="12822"/>
  <c r="AA116" i="12822"/>
  <c r="AA115" i="12822"/>
  <c r="AB179" i="12822"/>
  <c r="AB178" i="12822"/>
  <c r="AB116" i="12822"/>
  <c r="E8" i="12825"/>
  <c r="E9" i="12825"/>
  <c r="E10" i="12825"/>
  <c r="E9" i="12822" l="1"/>
  <c r="E25" i="12822"/>
  <c r="E21" i="12822"/>
  <c r="E17" i="12822"/>
  <c r="E13" i="12822"/>
  <c r="F50" i="12823"/>
  <c r="D8" i="12820" l="1"/>
  <c r="D9" i="12820"/>
  <c r="D10" i="12820"/>
  <c r="D11" i="12820"/>
  <c r="D12" i="12820"/>
  <c r="D13" i="12820"/>
  <c r="D14" i="12820"/>
  <c r="D15" i="12820"/>
  <c r="D16" i="12820"/>
  <c r="D17" i="12820"/>
  <c r="D18" i="12820"/>
  <c r="D19" i="12820"/>
  <c r="D20" i="12820"/>
  <c r="D21" i="12820"/>
  <c r="D23" i="12820"/>
  <c r="D24" i="12820"/>
  <c r="D25" i="12820"/>
  <c r="D26" i="12820"/>
  <c r="D27" i="12820"/>
  <c r="D28" i="12820"/>
  <c r="E112" i="12821" l="1"/>
  <c r="E111" i="12821"/>
  <c r="E110" i="12821"/>
  <c r="E109" i="12821"/>
  <c r="E108" i="12821"/>
  <c r="E107" i="12821"/>
  <c r="E106" i="12821"/>
  <c r="E105" i="12821"/>
  <c r="E104" i="12821"/>
  <c r="E103" i="12821"/>
  <c r="E102" i="12821"/>
  <c r="E101" i="12821"/>
  <c r="E100" i="12821"/>
  <c r="E99" i="12821"/>
  <c r="E98" i="12821"/>
  <c r="E94" i="12821"/>
  <c r="E93" i="12821"/>
  <c r="E92" i="12821"/>
  <c r="E91" i="12821"/>
  <c r="E90" i="12821"/>
  <c r="E89" i="12821"/>
  <c r="E88" i="12821"/>
  <c r="E87" i="12821"/>
  <c r="E86" i="12821"/>
  <c r="E85" i="12821"/>
  <c r="E84" i="12821"/>
  <c r="E83" i="12821"/>
  <c r="E82" i="12821"/>
  <c r="E81" i="12821"/>
  <c r="E80" i="12821"/>
  <c r="E76" i="12821"/>
  <c r="E75" i="12821"/>
  <c r="E74" i="12821"/>
  <c r="E73" i="12821"/>
  <c r="E72" i="12821"/>
  <c r="E71" i="12821"/>
  <c r="E70" i="12821"/>
  <c r="E69" i="12821"/>
  <c r="E68" i="12821"/>
  <c r="E67" i="12821"/>
  <c r="E66" i="12821"/>
  <c r="E65" i="12821"/>
  <c r="E64" i="12821"/>
  <c r="E63" i="12821"/>
  <c r="E62" i="12821"/>
  <c r="E58" i="12821"/>
  <c r="E57" i="12821"/>
  <c r="E56" i="12821"/>
  <c r="E55" i="12821"/>
  <c r="E54" i="12821"/>
  <c r="E53" i="12821"/>
  <c r="E52" i="12821"/>
  <c r="E51" i="12821"/>
  <c r="E50" i="12821"/>
  <c r="E49" i="12821"/>
  <c r="E48" i="12821"/>
  <c r="E47" i="12821"/>
  <c r="E46" i="12821"/>
  <c r="E45" i="12821"/>
  <c r="E44" i="12821"/>
  <c r="E40" i="12821"/>
  <c r="E39" i="12821"/>
  <c r="E38" i="12821"/>
  <c r="E37" i="12821"/>
  <c r="E36" i="12821"/>
  <c r="E35" i="12821"/>
  <c r="E34" i="12821"/>
  <c r="E33" i="12821"/>
  <c r="E32" i="12821"/>
  <c r="E31" i="12821"/>
  <c r="E30" i="12821"/>
  <c r="E29" i="12821"/>
  <c r="E28" i="12821"/>
  <c r="E27" i="12821"/>
  <c r="E26" i="12821"/>
  <c r="E9" i="12821"/>
  <c r="E10" i="12821"/>
  <c r="E11" i="12821"/>
  <c r="E12" i="12821"/>
  <c r="E13" i="12821"/>
  <c r="E14" i="12821"/>
  <c r="E15" i="12821"/>
  <c r="E16" i="12821"/>
  <c r="E17" i="12821"/>
  <c r="E18" i="12821"/>
  <c r="E19" i="12821"/>
  <c r="E20" i="12821"/>
  <c r="E21" i="12821"/>
  <c r="E22" i="12821"/>
  <c r="E8" i="12821"/>
  <c r="F13" i="12821" l="1"/>
  <c r="F11" i="12821"/>
  <c r="F21" i="12821"/>
  <c r="F12" i="12821"/>
  <c r="F19" i="12821"/>
  <c r="F10" i="12821"/>
  <c r="F17" i="12821"/>
  <c r="F9" i="12821"/>
  <c r="F20" i="12821"/>
  <c r="F8" i="12821"/>
  <c r="F15" i="12821"/>
  <c r="F18" i="12821"/>
  <c r="F16" i="12821"/>
  <c r="F22" i="12821"/>
  <c r="F14" i="12821"/>
  <c r="F29" i="12821"/>
  <c r="F38" i="12821"/>
  <c r="F39" i="12821"/>
  <c r="F37" i="12821"/>
  <c r="F32" i="12821"/>
  <c r="F33" i="12821"/>
  <c r="F40" i="12821"/>
  <c r="F26" i="12821"/>
  <c r="F34" i="12821"/>
  <c r="F30" i="12821"/>
  <c r="F27" i="12821"/>
  <c r="F35" i="12821"/>
  <c r="F31" i="12821"/>
  <c r="F28" i="12821"/>
  <c r="F36" i="12821"/>
  <c r="F56" i="12821"/>
  <c r="F52" i="12821"/>
  <c r="F57" i="12821"/>
  <c r="F50" i="12821"/>
  <c r="F44" i="12821"/>
  <c r="F45" i="12821"/>
  <c r="F53" i="12821"/>
  <c r="F49" i="12821"/>
  <c r="F58" i="12821"/>
  <c r="F46" i="12821"/>
  <c r="F54" i="12821"/>
  <c r="F48" i="12821"/>
  <c r="F51" i="12821"/>
  <c r="F47" i="12821"/>
  <c r="F55" i="12821"/>
  <c r="F76" i="12821"/>
  <c r="F70" i="12821"/>
  <c r="F67" i="12821"/>
  <c r="F63" i="12821"/>
  <c r="F71" i="12821"/>
  <c r="F69" i="12821"/>
  <c r="F64" i="12821"/>
  <c r="F75" i="12821"/>
  <c r="F68" i="12821"/>
  <c r="F65" i="12821"/>
  <c r="F73" i="12821"/>
  <c r="F62" i="12821"/>
  <c r="F72" i="12821"/>
  <c r="F66" i="12821"/>
  <c r="F74" i="12821"/>
  <c r="F87" i="12821"/>
  <c r="F88" i="12821"/>
  <c r="F81" i="12821"/>
  <c r="F89" i="12821"/>
  <c r="F80" i="12821"/>
  <c r="F90" i="12821"/>
  <c r="F83" i="12821"/>
  <c r="F91" i="12821"/>
  <c r="F94" i="12821"/>
  <c r="F84" i="12821"/>
  <c r="F92" i="12821"/>
  <c r="F86" i="12821"/>
  <c r="F82" i="12821"/>
  <c r="F85" i="12821"/>
  <c r="F93" i="12821"/>
  <c r="F105" i="12821"/>
  <c r="F98" i="12821"/>
  <c r="F106" i="12821"/>
  <c r="F99" i="12821"/>
  <c r="F107" i="12821"/>
  <c r="F100" i="12821"/>
  <c r="F108" i="12821"/>
  <c r="F101" i="12821"/>
  <c r="F109" i="12821"/>
  <c r="F102" i="12821"/>
  <c r="F110" i="12821"/>
  <c r="F103" i="12821"/>
  <c r="F111" i="12821"/>
  <c r="F104" i="12821"/>
  <c r="F112" i="12821"/>
  <c r="U211" i="12821" l="1"/>
  <c r="U213" i="12821"/>
  <c r="U215" i="12821"/>
  <c r="U222" i="12821"/>
  <c r="U223" i="12821"/>
  <c r="U224" i="12821"/>
  <c r="U225" i="12821"/>
  <c r="U241" i="12821"/>
  <c r="U243" i="12821"/>
  <c r="U257" i="12821"/>
  <c r="U134" i="12821" l="1"/>
  <c r="U136" i="12821"/>
  <c r="U138" i="12821"/>
  <c r="U145" i="12821"/>
  <c r="U146" i="12821"/>
  <c r="U147" i="12821"/>
  <c r="U166" i="12821"/>
  <c r="U180" i="12821"/>
  <c r="U16" i="12820"/>
  <c r="AB38" i="12820" l="1"/>
  <c r="AD37" i="12820"/>
  <c r="AD36" i="12820"/>
  <c r="AD35" i="12820"/>
  <c r="AD34" i="12820"/>
  <c r="AD33" i="12820"/>
  <c r="AC32" i="12820"/>
  <c r="AC31" i="12820"/>
  <c r="AC30" i="12820"/>
  <c r="AC29" i="12820"/>
  <c r="AD28" i="12820"/>
  <c r="AD27" i="12820"/>
  <c r="AD26" i="12820"/>
  <c r="C109" i="12820"/>
  <c r="D109" i="12820" s="1"/>
  <c r="C110" i="12820"/>
  <c r="D110" i="12820" s="1"/>
  <c r="C111" i="12820"/>
  <c r="D111" i="12820" s="1"/>
  <c r="C112" i="12820"/>
  <c r="D112" i="12820" s="1"/>
  <c r="C113" i="12820"/>
  <c r="D113" i="12820" s="1"/>
  <c r="C114" i="12820"/>
  <c r="D114" i="12820" s="1"/>
  <c r="C115" i="12820"/>
  <c r="D115" i="12820" s="1"/>
  <c r="C116" i="12820"/>
  <c r="D116" i="12820" s="1"/>
  <c r="C117" i="12820"/>
  <c r="D117" i="12820" s="1"/>
  <c r="C118" i="12820"/>
  <c r="D118" i="12820" s="1"/>
  <c r="C119" i="12820"/>
  <c r="D119" i="12820" s="1"/>
  <c r="C120" i="12820"/>
  <c r="D120" i="12820" s="1"/>
  <c r="C121" i="12820"/>
  <c r="D121" i="12820" s="1"/>
  <c r="C123" i="12820"/>
  <c r="D123" i="12820" s="1"/>
  <c r="C124" i="12820"/>
  <c r="D124" i="12820" s="1"/>
  <c r="C125" i="12820"/>
  <c r="D125" i="12820" s="1"/>
  <c r="C126" i="12820"/>
  <c r="D126" i="12820" s="1"/>
  <c r="C127" i="12820"/>
  <c r="D127" i="12820" s="1"/>
  <c r="C128" i="12820"/>
  <c r="D128" i="12820" s="1"/>
  <c r="C108" i="12820"/>
  <c r="D108" i="12820" s="1"/>
  <c r="C84" i="12820"/>
  <c r="D84" i="12820" s="1"/>
  <c r="C85" i="12820"/>
  <c r="D85" i="12820" s="1"/>
  <c r="C86" i="12820"/>
  <c r="D86" i="12820" s="1"/>
  <c r="C87" i="12820"/>
  <c r="D87" i="12820" s="1"/>
  <c r="C88" i="12820"/>
  <c r="D88" i="12820" s="1"/>
  <c r="C89" i="12820"/>
  <c r="D89" i="12820" s="1"/>
  <c r="C90" i="12820"/>
  <c r="D90" i="12820" s="1"/>
  <c r="C91" i="12820"/>
  <c r="D91" i="12820" s="1"/>
  <c r="C92" i="12820"/>
  <c r="D92" i="12820" s="1"/>
  <c r="C93" i="12820"/>
  <c r="D93" i="12820" s="1"/>
  <c r="C94" i="12820"/>
  <c r="D94" i="12820" s="1"/>
  <c r="C95" i="12820"/>
  <c r="D95" i="12820" s="1"/>
  <c r="C96" i="12820"/>
  <c r="D96" i="12820" s="1"/>
  <c r="C98" i="12820"/>
  <c r="D98" i="12820" s="1"/>
  <c r="C99" i="12820"/>
  <c r="D99" i="12820" s="1"/>
  <c r="C100" i="12820"/>
  <c r="D100" i="12820" s="1"/>
  <c r="C101" i="12820"/>
  <c r="D101" i="12820" s="1"/>
  <c r="C102" i="12820"/>
  <c r="D102" i="12820" s="1"/>
  <c r="C103" i="12820"/>
  <c r="D103" i="12820" s="1"/>
  <c r="C83" i="12820"/>
  <c r="D83" i="12820" s="1"/>
  <c r="C34" i="12820"/>
  <c r="D34" i="12820" s="1"/>
  <c r="C35" i="12820"/>
  <c r="D35" i="12820" s="1"/>
  <c r="C36" i="12820"/>
  <c r="D36" i="12820" s="1"/>
  <c r="C37" i="12820"/>
  <c r="D37" i="12820" s="1"/>
  <c r="C38" i="12820"/>
  <c r="D38" i="12820" s="1"/>
  <c r="C39" i="12820"/>
  <c r="D39" i="12820" s="1"/>
  <c r="C40" i="12820"/>
  <c r="D40" i="12820" s="1"/>
  <c r="C41" i="12820"/>
  <c r="D41" i="12820" s="1"/>
  <c r="C42" i="12820"/>
  <c r="D42" i="12820" s="1"/>
  <c r="C43" i="12820"/>
  <c r="D43" i="12820" s="1"/>
  <c r="C44" i="12820"/>
  <c r="D44" i="12820" s="1"/>
  <c r="C45" i="12820"/>
  <c r="D45" i="12820" s="1"/>
  <c r="C46" i="12820"/>
  <c r="D46" i="12820" s="1"/>
  <c r="C48" i="12820"/>
  <c r="D48" i="12820" s="1"/>
  <c r="C49" i="12820"/>
  <c r="D49" i="12820" s="1"/>
  <c r="C50" i="12820"/>
  <c r="D50" i="12820" s="1"/>
  <c r="C51" i="12820"/>
  <c r="D51" i="12820" s="1"/>
  <c r="C52" i="12820"/>
  <c r="D52" i="12820" s="1"/>
  <c r="C53" i="12820"/>
  <c r="D53" i="12820" s="1"/>
  <c r="C33" i="12820"/>
  <c r="D33" i="12820" s="1"/>
  <c r="C71" i="12820" l="1"/>
  <c r="D71" i="12820" s="1"/>
  <c r="C146" i="12820"/>
  <c r="D146" i="12820" s="1"/>
  <c r="C63" i="12820"/>
  <c r="D63" i="12820" s="1"/>
  <c r="C138" i="12820"/>
  <c r="D138" i="12820" s="1"/>
  <c r="C70" i="12820"/>
  <c r="D70" i="12820" s="1"/>
  <c r="C145" i="12820"/>
  <c r="D145" i="12820" s="1"/>
  <c r="C62" i="12820"/>
  <c r="D62" i="12820" s="1"/>
  <c r="C137" i="12820"/>
  <c r="D137" i="12820" s="1"/>
  <c r="C78" i="12820"/>
  <c r="D78" i="12820" s="1"/>
  <c r="C153" i="12820"/>
  <c r="D153" i="12820" s="1"/>
  <c r="C61" i="12820"/>
  <c r="D61" i="12820" s="1"/>
  <c r="C136" i="12820"/>
  <c r="D136" i="12820" s="1"/>
  <c r="C77" i="12820"/>
  <c r="D77" i="12820" s="1"/>
  <c r="C152" i="12820"/>
  <c r="D152" i="12820" s="1"/>
  <c r="C68" i="12820"/>
  <c r="D68" i="12820" s="1"/>
  <c r="C143" i="12820"/>
  <c r="D143" i="12820" s="1"/>
  <c r="C60" i="12820"/>
  <c r="D60" i="12820" s="1"/>
  <c r="C135" i="12820"/>
  <c r="D135" i="12820" s="1"/>
  <c r="C73" i="12820"/>
  <c r="D73" i="12820" s="1"/>
  <c r="C148" i="12820"/>
  <c r="D148" i="12820" s="1"/>
  <c r="C69" i="12820"/>
  <c r="D69" i="12820" s="1"/>
  <c r="C144" i="12820"/>
  <c r="D144" i="12820" s="1"/>
  <c r="C76" i="12820"/>
  <c r="D76" i="12820" s="1"/>
  <c r="C151" i="12820"/>
  <c r="D151" i="12820" s="1"/>
  <c r="C67" i="12820"/>
  <c r="D67" i="12820" s="1"/>
  <c r="C142" i="12820"/>
  <c r="D142" i="12820" s="1"/>
  <c r="C59" i="12820"/>
  <c r="D59" i="12820" s="1"/>
  <c r="C134" i="12820"/>
  <c r="D134" i="12820" s="1"/>
  <c r="C64" i="12820"/>
  <c r="D64" i="12820" s="1"/>
  <c r="C139" i="12820"/>
  <c r="D139" i="12820" s="1"/>
  <c r="C58" i="12820"/>
  <c r="D58" i="12820" s="1"/>
  <c r="C133" i="12820"/>
  <c r="D133" i="12820" s="1"/>
  <c r="C75" i="12820"/>
  <c r="D75" i="12820" s="1"/>
  <c r="C150" i="12820"/>
  <c r="D150" i="12820" s="1"/>
  <c r="C66" i="12820"/>
  <c r="D66" i="12820" s="1"/>
  <c r="C141" i="12820"/>
  <c r="D141" i="12820" s="1"/>
  <c r="C74" i="12820"/>
  <c r="D74" i="12820" s="1"/>
  <c r="C149" i="12820"/>
  <c r="D149" i="12820" s="1"/>
  <c r="C65" i="12820"/>
  <c r="D65" i="12820" s="1"/>
  <c r="C140" i="12820"/>
  <c r="D140" i="12820" s="1"/>
  <c r="T60" i="12820"/>
  <c r="Q60" i="12820" s="1"/>
  <c r="T59" i="12820"/>
  <c r="Q59" i="12820" s="1"/>
  <c r="Q36" i="12820" l="1"/>
  <c r="Q35" i="12820"/>
  <c r="T39" i="12820"/>
  <c r="Q39" i="12820" l="1"/>
  <c r="T63" i="12820"/>
  <c r="Q63" i="12820" l="1"/>
  <c r="C35" i="12826" l="1"/>
  <c r="C36" i="12826"/>
  <c r="C37" i="12826"/>
  <c r="C38" i="12826"/>
  <c r="C39" i="12826"/>
  <c r="C40" i="12826"/>
  <c r="C41" i="12826"/>
  <c r="C42" i="12826"/>
  <c r="C43" i="12826"/>
  <c r="C44" i="12826"/>
  <c r="C45" i="12826"/>
  <c r="C34" i="12826"/>
  <c r="P15" i="12826" l="1"/>
  <c r="D38" i="12826" l="1"/>
  <c r="D34" i="12826"/>
  <c r="D45" i="12826"/>
  <c r="D37" i="12826"/>
  <c r="D44" i="12826"/>
  <c r="D36" i="12826"/>
  <c r="D43" i="12826"/>
  <c r="D35" i="12826"/>
  <c r="D42" i="12826"/>
  <c r="D41" i="12826"/>
  <c r="D40" i="12826"/>
  <c r="D39" i="12826"/>
  <c r="U50" i="12825"/>
  <c r="U42" i="12825"/>
  <c r="F10" i="12825" l="1"/>
  <c r="F8" i="12825"/>
  <c r="F9" i="12825"/>
  <c r="D12" i="12825"/>
  <c r="D13" i="12825"/>
  <c r="E13" i="12825" s="1"/>
  <c r="F13" i="12825" s="1"/>
  <c r="D11" i="12825"/>
  <c r="E11" i="12825" s="1"/>
  <c r="F11" i="12825" s="1"/>
  <c r="D14" i="12825" l="1"/>
  <c r="D17" i="12825" s="1"/>
  <c r="D16" i="12825"/>
  <c r="D15" i="12825"/>
  <c r="E15" i="12825" s="1"/>
  <c r="F15" i="12825" s="1"/>
  <c r="E12" i="12825"/>
  <c r="F12" i="12825" s="1"/>
  <c r="V181" i="12825"/>
  <c r="V183" i="12825"/>
  <c r="V196" i="12825"/>
  <c r="V206" i="12825"/>
  <c r="V208" i="12825"/>
  <c r="V213" i="12825"/>
  <c r="D18" i="12825" l="1"/>
  <c r="E18" i="12825" s="1"/>
  <c r="F18" i="12825" s="1"/>
  <c r="E14" i="12825"/>
  <c r="F14" i="12825" s="1"/>
  <c r="E17" i="12825"/>
  <c r="F17" i="12825" s="1"/>
  <c r="D21" i="12825"/>
  <c r="E21" i="12825" s="1"/>
  <c r="F21" i="12825" s="1"/>
  <c r="E16" i="12825"/>
  <c r="F16" i="12825" s="1"/>
  <c r="D19" i="12825"/>
  <c r="D22" i="12825" l="1"/>
  <c r="E22" i="12825" s="1"/>
  <c r="F22" i="12825" s="1"/>
  <c r="D24" i="12825"/>
  <c r="E24" i="12825" s="1"/>
  <c r="F24" i="12825" s="1"/>
  <c r="E19" i="12825"/>
  <c r="F19" i="12825" s="1"/>
  <c r="D23" i="12825"/>
  <c r="D25" i="12825" l="1"/>
  <c r="E25" i="12825" s="1"/>
  <c r="F25" i="12825" s="1"/>
  <c r="D27" i="12825"/>
  <c r="E27" i="12825" s="1"/>
  <c r="F27" i="12825" s="1"/>
  <c r="E23" i="12825"/>
  <c r="F23" i="12825" s="1"/>
  <c r="D26" i="12825"/>
  <c r="D28" i="12825" l="1"/>
  <c r="E28" i="12825" s="1"/>
  <c r="F28" i="12825" s="1"/>
  <c r="D30" i="12825"/>
  <c r="E30" i="12825" s="1"/>
  <c r="F30" i="12825" s="1"/>
  <c r="E26" i="12825"/>
  <c r="F26" i="12825" s="1"/>
  <c r="D29" i="12825"/>
  <c r="D31" i="12825" l="1"/>
  <c r="E31" i="12825" s="1"/>
  <c r="F31" i="12825" s="1"/>
  <c r="D34" i="12825"/>
  <c r="E34" i="12825" s="1"/>
  <c r="F34" i="12825" s="1"/>
  <c r="E29" i="12825"/>
  <c r="F29" i="12825" s="1"/>
  <c r="D32" i="12825"/>
  <c r="D35" i="12825" l="1"/>
  <c r="E35" i="12825" s="1"/>
  <c r="F35" i="12825" s="1"/>
  <c r="D37" i="12825"/>
  <c r="E37" i="12825" s="1"/>
  <c r="F37" i="12825" s="1"/>
  <c r="E32" i="12825"/>
  <c r="F32" i="12825" s="1"/>
  <c r="D36" i="12825"/>
  <c r="D38" i="12825" l="1"/>
  <c r="E38" i="12825" s="1"/>
  <c r="F38" i="12825" s="1"/>
  <c r="D40" i="12825"/>
  <c r="E40" i="12825" s="1"/>
  <c r="F40" i="12825" s="1"/>
  <c r="E36" i="12825"/>
  <c r="F36" i="12825" s="1"/>
  <c r="D39" i="12825"/>
  <c r="D41" i="12825" l="1"/>
  <c r="E41" i="12825" s="1"/>
  <c r="F41" i="12825" s="1"/>
  <c r="D43" i="12825"/>
  <c r="E43" i="12825" s="1"/>
  <c r="F43" i="12825" s="1"/>
  <c r="E39" i="12825"/>
  <c r="F39" i="12825" s="1"/>
  <c r="D42" i="12825"/>
  <c r="D44" i="12825" l="1"/>
  <c r="E44" i="12825" s="1"/>
  <c r="F44" i="12825" s="1"/>
  <c r="E42" i="12825"/>
  <c r="F42" i="12825" s="1"/>
  <c r="D45" i="12825"/>
  <c r="E45" i="12825" s="1"/>
  <c r="F45" i="12825" s="1"/>
  <c r="I183" i="12827"/>
  <c r="I179" i="12827"/>
  <c r="I177" i="12827"/>
  <c r="I164" i="12827"/>
  <c r="I160" i="12827"/>
  <c r="I156" i="12827"/>
  <c r="Q69" i="12826"/>
  <c r="H51" i="12824"/>
  <c r="U129" i="12823"/>
  <c r="U215" i="12822"/>
  <c r="U203" i="12822"/>
  <c r="U191" i="12822"/>
  <c r="U190" i="12822"/>
  <c r="U189" i="12822"/>
  <c r="U188" i="12822"/>
  <c r="U187" i="12822"/>
  <c r="S81" i="12820"/>
  <c r="S75" i="12820"/>
  <c r="S74" i="12820"/>
  <c r="AA10" i="12833" l="1"/>
  <c r="AA82" i="12833" s="1"/>
  <c r="AA107" i="12833" s="1"/>
  <c r="V10" i="12833"/>
  <c r="V46" i="12833" s="1"/>
  <c r="V102" i="12833" s="1"/>
  <c r="W10" i="12833"/>
  <c r="W58" i="12833" s="1"/>
  <c r="W103" i="12833" s="1"/>
  <c r="X10" i="12833"/>
  <c r="X64" i="12833" s="1"/>
  <c r="X104" i="12833" s="1"/>
  <c r="Y10" i="12833"/>
  <c r="Y70" i="12833" s="1"/>
  <c r="Y105" i="12833" s="1"/>
  <c r="Z10" i="12833"/>
  <c r="Z76" i="12833" s="1"/>
  <c r="Z106" i="12833" s="1"/>
  <c r="U10" i="12833"/>
  <c r="U94" i="12833" s="1"/>
  <c r="U109" i="12833" l="1"/>
  <c r="U28" i="12833"/>
  <c r="V40" i="12833"/>
  <c r="V101" i="12833" s="1"/>
  <c r="W46" i="12833"/>
  <c r="W102" i="12833" s="1"/>
  <c r="X58" i="12833"/>
  <c r="X103" i="12833" s="1"/>
  <c r="Y64" i="12833"/>
  <c r="Y104" i="12833" s="1"/>
  <c r="Z70" i="12833"/>
  <c r="Z105" i="12833" s="1"/>
  <c r="AA76" i="12833"/>
  <c r="AA106" i="12833" s="1"/>
  <c r="U88" i="12833"/>
  <c r="U108" i="12833" s="1"/>
  <c r="V94" i="12833"/>
  <c r="V109" i="12833" s="1"/>
  <c r="U22" i="12833"/>
  <c r="U99" i="12833" s="1"/>
  <c r="V28" i="12833"/>
  <c r="V100" i="12833" s="1"/>
  <c r="W40" i="12833"/>
  <c r="W101" i="12833" s="1"/>
  <c r="X46" i="12833"/>
  <c r="X102" i="12833" s="1"/>
  <c r="Y58" i="12833"/>
  <c r="Y103" i="12833" s="1"/>
  <c r="Z64" i="12833"/>
  <c r="Z104" i="12833" s="1"/>
  <c r="AA70" i="12833"/>
  <c r="AA105" i="12833" s="1"/>
  <c r="U82" i="12833"/>
  <c r="V88" i="12833"/>
  <c r="V108" i="12833" s="1"/>
  <c r="W94" i="12833"/>
  <c r="W109" i="12833" s="1"/>
  <c r="AA22" i="12833"/>
  <c r="AA99" i="12833" s="1"/>
  <c r="W28" i="12833"/>
  <c r="W100" i="12833" s="1"/>
  <c r="X40" i="12833"/>
  <c r="X101" i="12833" s="1"/>
  <c r="Y46" i="12833"/>
  <c r="Y102" i="12833" s="1"/>
  <c r="Z58" i="12833"/>
  <c r="Z103" i="12833" s="1"/>
  <c r="AA64" i="12833"/>
  <c r="AA104" i="12833" s="1"/>
  <c r="U76" i="12833"/>
  <c r="V82" i="12833"/>
  <c r="V107" i="12833" s="1"/>
  <c r="W88" i="12833"/>
  <c r="X94" i="12833"/>
  <c r="X109" i="12833" s="1"/>
  <c r="Z22" i="12833"/>
  <c r="Z99" i="12833" s="1"/>
  <c r="X28" i="12833"/>
  <c r="X100" i="12833" s="1"/>
  <c r="Y40" i="12833"/>
  <c r="Y101" i="12833" s="1"/>
  <c r="Z46" i="12833"/>
  <c r="Z102" i="12833" s="1"/>
  <c r="AA58" i="12833"/>
  <c r="AA103" i="12833" s="1"/>
  <c r="U70" i="12833"/>
  <c r="V76" i="12833"/>
  <c r="V106" i="12833" s="1"/>
  <c r="W82" i="12833"/>
  <c r="W107" i="12833" s="1"/>
  <c r="X88" i="12833"/>
  <c r="X108" i="12833" s="1"/>
  <c r="Y94" i="12833"/>
  <c r="Y109" i="12833" s="1"/>
  <c r="Y22" i="12833"/>
  <c r="Y99" i="12833" s="1"/>
  <c r="Z40" i="12833"/>
  <c r="Z101" i="12833" s="1"/>
  <c r="AA46" i="12833"/>
  <c r="AA102" i="12833" s="1"/>
  <c r="U64" i="12833"/>
  <c r="V70" i="12833"/>
  <c r="V105" i="12833" s="1"/>
  <c r="W76" i="12833"/>
  <c r="W106" i="12833" s="1"/>
  <c r="X82" i="12833"/>
  <c r="X107" i="12833" s="1"/>
  <c r="Y88" i="12833"/>
  <c r="Y108" i="12833" s="1"/>
  <c r="Z94" i="12833"/>
  <c r="Z109" i="12833" s="1"/>
  <c r="X22" i="12833"/>
  <c r="X99" i="12833" s="1"/>
  <c r="Z28" i="12833"/>
  <c r="Z100" i="12833" s="1"/>
  <c r="AA40" i="12833"/>
  <c r="AA101" i="12833" s="1"/>
  <c r="U58" i="12833"/>
  <c r="V64" i="12833"/>
  <c r="V104" i="12833" s="1"/>
  <c r="W70" i="12833"/>
  <c r="W105" i="12833" s="1"/>
  <c r="X76" i="12833"/>
  <c r="X106" i="12833" s="1"/>
  <c r="Y82" i="12833"/>
  <c r="Y107" i="12833" s="1"/>
  <c r="Z88" i="12833"/>
  <c r="Z108" i="12833" s="1"/>
  <c r="AA94" i="12833"/>
  <c r="AA109" i="12833" s="1"/>
  <c r="W22" i="12833"/>
  <c r="W99" i="12833" s="1"/>
  <c r="AA28" i="12833"/>
  <c r="AA100" i="12833" s="1"/>
  <c r="U46" i="12833"/>
  <c r="V58" i="12833"/>
  <c r="V103" i="12833" s="1"/>
  <c r="W64" i="12833"/>
  <c r="W104" i="12833" s="1"/>
  <c r="X70" i="12833"/>
  <c r="X105" i="12833" s="1"/>
  <c r="Y76" i="12833"/>
  <c r="Y106" i="12833" s="1"/>
  <c r="Z82" i="12833"/>
  <c r="Z107" i="12833" s="1"/>
  <c r="AA88" i="12833"/>
  <c r="AA108" i="12833" s="1"/>
  <c r="Y28" i="12833"/>
  <c r="Y100" i="12833" s="1"/>
  <c r="V22" i="12833"/>
  <c r="V99" i="12833" s="1"/>
  <c r="U40" i="12833"/>
  <c r="U103" i="12833" l="1"/>
  <c r="W108" i="12833"/>
  <c r="U104" i="12833"/>
  <c r="U105" i="12833"/>
  <c r="U106" i="12833"/>
  <c r="U107" i="12833"/>
  <c r="U100" i="12833"/>
  <c r="U101" i="12833"/>
  <c r="U102" i="12833"/>
  <c r="S50" i="12820"/>
  <c r="S51" i="12820"/>
  <c r="S57" i="12820"/>
  <c r="R109" i="12833"/>
  <c r="Q109" i="12833"/>
  <c r="P109" i="12833"/>
  <c r="O109" i="12833"/>
  <c r="N109" i="12833"/>
  <c r="M109" i="12833"/>
  <c r="L109" i="12833"/>
  <c r="J109" i="12833"/>
  <c r="J121" i="12833" s="1"/>
  <c r="I109" i="12833"/>
  <c r="I121" i="12833" s="1"/>
  <c r="H109" i="12833"/>
  <c r="H121" i="12833" s="1"/>
  <c r="G109" i="12833"/>
  <c r="G121" i="12833" s="1"/>
  <c r="F109" i="12833"/>
  <c r="F121" i="12833" s="1"/>
  <c r="E109" i="12833"/>
  <c r="E121" i="12833" s="1"/>
  <c r="D109" i="12833"/>
  <c r="D121" i="12833" s="1"/>
  <c r="R108" i="12833"/>
  <c r="Q108" i="12833"/>
  <c r="P108" i="12833"/>
  <c r="O108" i="12833"/>
  <c r="N108" i="12833"/>
  <c r="M108" i="12833"/>
  <c r="L108" i="12833"/>
  <c r="J108" i="12833"/>
  <c r="J120" i="12833" s="1"/>
  <c r="I108" i="12833"/>
  <c r="I120" i="12833" s="1"/>
  <c r="H108" i="12833"/>
  <c r="H120" i="12833" s="1"/>
  <c r="G108" i="12833"/>
  <c r="G120" i="12833" s="1"/>
  <c r="F108" i="12833"/>
  <c r="F120" i="12833" s="1"/>
  <c r="E108" i="12833"/>
  <c r="E120" i="12833" s="1"/>
  <c r="D108" i="12833"/>
  <c r="D120" i="12833" s="1"/>
  <c r="R107" i="12833"/>
  <c r="Q107" i="12833"/>
  <c r="P107" i="12833"/>
  <c r="O107" i="12833"/>
  <c r="N107" i="12833"/>
  <c r="M107" i="12833"/>
  <c r="L107" i="12833"/>
  <c r="J107" i="12833"/>
  <c r="J119" i="12833" s="1"/>
  <c r="I107" i="12833"/>
  <c r="I119" i="12833" s="1"/>
  <c r="H107" i="12833"/>
  <c r="H119" i="12833" s="1"/>
  <c r="G107" i="12833"/>
  <c r="G119" i="12833" s="1"/>
  <c r="F107" i="12833"/>
  <c r="F119" i="12833" s="1"/>
  <c r="E107" i="12833"/>
  <c r="E119" i="12833" s="1"/>
  <c r="D107" i="12833"/>
  <c r="D119" i="12833" s="1"/>
  <c r="R106" i="12833"/>
  <c r="Q106" i="12833"/>
  <c r="P106" i="12833"/>
  <c r="O106" i="12833"/>
  <c r="N106" i="12833"/>
  <c r="M106" i="12833"/>
  <c r="L106" i="12833"/>
  <c r="J106" i="12833"/>
  <c r="J118" i="12833" s="1"/>
  <c r="I106" i="12833"/>
  <c r="I118" i="12833" s="1"/>
  <c r="H106" i="12833"/>
  <c r="H118" i="12833" s="1"/>
  <c r="G106" i="12833"/>
  <c r="G118" i="12833" s="1"/>
  <c r="F106" i="12833"/>
  <c r="F118" i="12833" s="1"/>
  <c r="E106" i="12833"/>
  <c r="E118" i="12833" s="1"/>
  <c r="D106" i="12833"/>
  <c r="D118" i="12833" s="1"/>
  <c r="R105" i="12833"/>
  <c r="Q105" i="12833"/>
  <c r="P105" i="12833"/>
  <c r="O105" i="12833"/>
  <c r="N105" i="12833"/>
  <c r="M105" i="12833"/>
  <c r="L105" i="12833"/>
  <c r="J105" i="12833"/>
  <c r="J117" i="12833" s="1"/>
  <c r="I105" i="12833"/>
  <c r="I117" i="12833" s="1"/>
  <c r="H105" i="12833"/>
  <c r="H117" i="12833" s="1"/>
  <c r="G105" i="12833"/>
  <c r="G117" i="12833" s="1"/>
  <c r="F105" i="12833"/>
  <c r="F117" i="12833" s="1"/>
  <c r="E105" i="12833"/>
  <c r="E117" i="12833" s="1"/>
  <c r="D105" i="12833"/>
  <c r="D117" i="12833" s="1"/>
  <c r="R104" i="12833"/>
  <c r="Q104" i="12833"/>
  <c r="P104" i="12833"/>
  <c r="O104" i="12833"/>
  <c r="N104" i="12833"/>
  <c r="M104" i="12833"/>
  <c r="L104" i="12833"/>
  <c r="J104" i="12833"/>
  <c r="J116" i="12833" s="1"/>
  <c r="I104" i="12833"/>
  <c r="I116" i="12833" s="1"/>
  <c r="H104" i="12833"/>
  <c r="H116" i="12833" s="1"/>
  <c r="G104" i="12833"/>
  <c r="G116" i="12833" s="1"/>
  <c r="F104" i="12833"/>
  <c r="F116" i="12833" s="1"/>
  <c r="E104" i="12833"/>
  <c r="E116" i="12833" s="1"/>
  <c r="D104" i="12833"/>
  <c r="D116" i="12833" s="1"/>
  <c r="R103" i="12833"/>
  <c r="Q103" i="12833"/>
  <c r="P103" i="12833"/>
  <c r="O103" i="12833"/>
  <c r="N103" i="12833"/>
  <c r="M103" i="12833"/>
  <c r="L103" i="12833"/>
  <c r="J103" i="12833"/>
  <c r="J115" i="12833" s="1"/>
  <c r="I103" i="12833"/>
  <c r="I115" i="12833" s="1"/>
  <c r="H103" i="12833"/>
  <c r="H115" i="12833" s="1"/>
  <c r="G103" i="12833"/>
  <c r="G115" i="12833" s="1"/>
  <c r="F103" i="12833"/>
  <c r="F115" i="12833" s="1"/>
  <c r="E103" i="12833"/>
  <c r="E115" i="12833" s="1"/>
  <c r="D103" i="12833"/>
  <c r="D115" i="12833" s="1"/>
  <c r="R102" i="12833"/>
  <c r="Q102" i="12833"/>
  <c r="P102" i="12833"/>
  <c r="O102" i="12833"/>
  <c r="N102" i="12833"/>
  <c r="M102" i="12833"/>
  <c r="L102" i="12833"/>
  <c r="J102" i="12833"/>
  <c r="J114" i="12833" s="1"/>
  <c r="I102" i="12833"/>
  <c r="I114" i="12833" s="1"/>
  <c r="H102" i="12833"/>
  <c r="H114" i="12833" s="1"/>
  <c r="G102" i="12833"/>
  <c r="G114" i="12833" s="1"/>
  <c r="F102" i="12833"/>
  <c r="F114" i="12833" s="1"/>
  <c r="E102" i="12833"/>
  <c r="E114" i="12833" s="1"/>
  <c r="D102" i="12833"/>
  <c r="D114" i="12833" s="1"/>
  <c r="R101" i="12833"/>
  <c r="Q101" i="12833"/>
  <c r="P101" i="12833"/>
  <c r="O101" i="12833"/>
  <c r="N101" i="12833"/>
  <c r="M101" i="12833"/>
  <c r="L101" i="12833"/>
  <c r="J101" i="12833"/>
  <c r="J113" i="12833" s="1"/>
  <c r="I101" i="12833"/>
  <c r="I113" i="12833" s="1"/>
  <c r="H101" i="12833"/>
  <c r="H113" i="12833" s="1"/>
  <c r="G101" i="12833"/>
  <c r="G113" i="12833" s="1"/>
  <c r="F101" i="12833"/>
  <c r="F113" i="12833" s="1"/>
  <c r="E101" i="12833"/>
  <c r="E113" i="12833" s="1"/>
  <c r="D101" i="12833"/>
  <c r="D113" i="12833" s="1"/>
  <c r="R100" i="12833"/>
  <c r="Q100" i="12833"/>
  <c r="P100" i="12833"/>
  <c r="O100" i="12833"/>
  <c r="N100" i="12833"/>
  <c r="M100" i="12833"/>
  <c r="L100" i="12833"/>
  <c r="J100" i="12833"/>
  <c r="J112" i="12833" s="1"/>
  <c r="I100" i="12833"/>
  <c r="I112" i="12833" s="1"/>
  <c r="H100" i="12833"/>
  <c r="H112" i="12833" s="1"/>
  <c r="G100" i="12833"/>
  <c r="G112" i="12833" s="1"/>
  <c r="F100" i="12833"/>
  <c r="F112" i="12833" s="1"/>
  <c r="E100" i="12833"/>
  <c r="E112" i="12833" s="1"/>
  <c r="D100" i="12833"/>
  <c r="D112" i="12833" s="1"/>
  <c r="R99" i="12833"/>
  <c r="Q99" i="12833"/>
  <c r="P99" i="12833"/>
  <c r="O99" i="12833"/>
  <c r="N99" i="12833"/>
  <c r="M99" i="12833"/>
  <c r="L99" i="12833"/>
  <c r="J99" i="12833"/>
  <c r="J111" i="12833" s="1"/>
  <c r="I99" i="12833"/>
  <c r="I111" i="12833" s="1"/>
  <c r="H99" i="12833"/>
  <c r="H111" i="12833" s="1"/>
  <c r="G99" i="12833"/>
  <c r="G111" i="12833" s="1"/>
  <c r="F99" i="12833"/>
  <c r="F111" i="12833" s="1"/>
  <c r="E99" i="12833"/>
  <c r="E111" i="12833" s="1"/>
  <c r="D99" i="12833"/>
  <c r="D111" i="12833" s="1"/>
  <c r="H37" i="12824"/>
  <c r="J128" i="12833" l="1"/>
  <c r="AA14" i="12834" s="1"/>
  <c r="D128" i="12833"/>
  <c r="AA8" i="12834" s="1"/>
  <c r="E128" i="12833"/>
  <c r="AA9" i="12834" s="1"/>
  <c r="F128" i="12833"/>
  <c r="AA10" i="12834" s="1"/>
  <c r="H128" i="12833"/>
  <c r="AA12" i="12834" s="1"/>
  <c r="G128" i="12833"/>
  <c r="I128" i="12833"/>
  <c r="AA13" i="12834" s="1"/>
  <c r="Q46" i="12826"/>
  <c r="V115" i="12825" l="1"/>
  <c r="V117" i="12825"/>
  <c r="V130" i="12825"/>
  <c r="V140" i="12825"/>
  <c r="V142" i="12825"/>
  <c r="V147" i="12825"/>
  <c r="U88" i="12823"/>
  <c r="U124" i="12822" l="1"/>
  <c r="U125" i="12822"/>
  <c r="U126" i="12822"/>
  <c r="U127" i="12822"/>
  <c r="U128" i="12822"/>
  <c r="U140" i="12822"/>
  <c r="U152" i="12822"/>
  <c r="I105" i="12827" l="1"/>
  <c r="I109" i="12827"/>
  <c r="I113" i="12827"/>
  <c r="I126" i="12827"/>
  <c r="I128" i="12827"/>
  <c r="I132" i="12827"/>
  <c r="R8" i="12820" l="1"/>
  <c r="AG128" i="12833" l="1"/>
  <c r="G126" i="12833" l="1"/>
  <c r="H124" i="12833"/>
  <c r="F126" i="12833"/>
  <c r="I123" i="12833"/>
  <c r="H126" i="12833"/>
  <c r="H123" i="12833"/>
  <c r="G123" i="12833"/>
  <c r="G124" i="12833"/>
  <c r="F123" i="12833"/>
  <c r="H125" i="12833"/>
  <c r="E123" i="12833"/>
  <c r="I126" i="12833"/>
  <c r="I125" i="12833"/>
  <c r="F124" i="12833"/>
  <c r="G125" i="12833"/>
  <c r="F125" i="12833"/>
  <c r="I124" i="12833"/>
  <c r="AD25" i="12820" l="1"/>
  <c r="AD24" i="12820"/>
  <c r="AD23" i="12820"/>
  <c r="AD22" i="12820"/>
  <c r="AD21" i="12820"/>
  <c r="AC20" i="12820"/>
  <c r="AC19" i="12820"/>
  <c r="AC18" i="12820"/>
  <c r="AC17" i="12820"/>
  <c r="AD16" i="12820"/>
  <c r="AD15" i="12820"/>
  <c r="AD14" i="12820"/>
  <c r="AD38" i="12820" l="1"/>
  <c r="AC38" i="12820"/>
  <c r="AE38" i="12820" l="1"/>
  <c r="AF38" i="12820" s="1"/>
  <c r="T38" i="12820"/>
  <c r="T62" i="12820" s="1"/>
  <c r="T37" i="12820"/>
  <c r="T10" i="12833"/>
  <c r="Q24" i="12834" s="1"/>
  <c r="AG38" i="12820" l="1"/>
  <c r="AH38" i="12820"/>
  <c r="T61" i="12820"/>
  <c r="R74" i="12820" s="1"/>
  <c r="Q62" i="12820"/>
  <c r="Q75" i="12820" s="1"/>
  <c r="R75" i="12820"/>
  <c r="Q37" i="12820"/>
  <c r="Q50" i="12820" s="1"/>
  <c r="R50" i="12820"/>
  <c r="Q38" i="12820"/>
  <c r="Q51" i="12820" s="1"/>
  <c r="R51" i="12820"/>
  <c r="AE201" i="12821" l="1"/>
  <c r="AE200" i="12821"/>
  <c r="AE199" i="12821"/>
  <c r="AE202" i="12821"/>
  <c r="AE124" i="12821"/>
  <c r="AE123" i="12821"/>
  <c r="AE125" i="12821"/>
  <c r="AE122" i="12821"/>
  <c r="Q61" i="12820"/>
  <c r="Q74" i="12820" s="1"/>
  <c r="H54" i="12827"/>
  <c r="H58" i="12827"/>
  <c r="H62" i="12827"/>
  <c r="H75" i="12827"/>
  <c r="H77" i="12827"/>
  <c r="H81" i="12827"/>
  <c r="G66" i="12816"/>
  <c r="G65" i="12816"/>
  <c r="G64" i="12816"/>
  <c r="G63" i="12816"/>
  <c r="G62" i="12816"/>
  <c r="G61" i="12816"/>
  <c r="G60" i="12816"/>
  <c r="G59" i="12816"/>
  <c r="G58" i="12816"/>
  <c r="G57" i="12816"/>
  <c r="G56" i="12816"/>
  <c r="G55" i="12816"/>
  <c r="G53" i="12816"/>
  <c r="G52" i="12816"/>
  <c r="G51" i="12816"/>
  <c r="G50" i="12816"/>
  <c r="G49" i="12816"/>
  <c r="G48" i="12816"/>
  <c r="G47" i="12816"/>
  <c r="G46" i="12816"/>
  <c r="G45" i="12816"/>
  <c r="G44" i="12816"/>
  <c r="G43" i="12816"/>
  <c r="G42" i="12816"/>
  <c r="G41" i="12816"/>
  <c r="G40" i="12816"/>
  <c r="G39" i="12816"/>
  <c r="G38" i="12816"/>
  <c r="G37" i="12816"/>
  <c r="G36" i="12816"/>
  <c r="G35" i="12816"/>
  <c r="G34" i="12816"/>
  <c r="G33" i="12816"/>
  <c r="G32" i="12816"/>
  <c r="G31" i="12816"/>
  <c r="G30" i="12816"/>
  <c r="G28" i="12816"/>
  <c r="G27" i="12816"/>
  <c r="G26" i="12816"/>
  <c r="G25" i="12816"/>
  <c r="G24" i="12816"/>
  <c r="G23" i="12816"/>
  <c r="G22" i="12816"/>
  <c r="G21" i="12816"/>
  <c r="G20" i="12816"/>
  <c r="G19" i="12816"/>
  <c r="G18" i="12816"/>
  <c r="G17" i="12816"/>
  <c r="G16" i="12816"/>
  <c r="G15" i="12816"/>
  <c r="G14" i="12816"/>
  <c r="G13" i="12816"/>
  <c r="G12" i="12816"/>
  <c r="G11" i="12816"/>
  <c r="G10" i="12816"/>
  <c r="G9" i="12816"/>
  <c r="G8" i="12816"/>
  <c r="G7" i="12816"/>
  <c r="G6" i="12816"/>
  <c r="G5" i="12816"/>
  <c r="E86" i="12818" a="1"/>
  <c r="E86" i="12818" s="1"/>
  <c r="E83" i="12818" a="1"/>
  <c r="E83" i="12818" s="1"/>
  <c r="E82" i="12818" a="1"/>
  <c r="E82" i="12818" s="1"/>
  <c r="E81" i="12818" a="1"/>
  <c r="E81" i="12818" s="1"/>
  <c r="E80" i="12818" a="1"/>
  <c r="E80" i="12818" s="1"/>
  <c r="E77" i="12818" a="1"/>
  <c r="E77" i="12818" s="1"/>
  <c r="E76" i="12818" a="1"/>
  <c r="E76" i="12818" s="1"/>
  <c r="E75" i="12818" a="1"/>
  <c r="E75" i="12818" s="1"/>
  <c r="E73" i="12818" a="1"/>
  <c r="E73" i="12818" s="1"/>
  <c r="E72" i="12818" a="1"/>
  <c r="E72" i="12818" s="1"/>
  <c r="E71" i="12818" a="1"/>
  <c r="E71" i="12818" s="1"/>
  <c r="E70" i="12818" a="1"/>
  <c r="E70" i="12818" s="1"/>
  <c r="E69" i="12818" a="1"/>
  <c r="E69" i="12818" s="1"/>
  <c r="E68" i="12818" a="1"/>
  <c r="E68" i="12818" s="1"/>
  <c r="E67" i="12818" a="1"/>
  <c r="E67" i="12818" s="1"/>
  <c r="E66" i="12818" a="1"/>
  <c r="E66" i="12818" s="1"/>
  <c r="E65" i="12818" a="1"/>
  <c r="E65" i="12818" s="1"/>
  <c r="E64" i="12818" a="1"/>
  <c r="E64" i="12818" s="1"/>
  <c r="E61" i="12818" a="1"/>
  <c r="E61" i="12818" s="1"/>
  <c r="E60" i="12818" a="1"/>
  <c r="E60" i="12818" s="1"/>
  <c r="E59" i="12818" a="1"/>
  <c r="E59" i="12818" s="1"/>
  <c r="E52" i="12818" a="1"/>
  <c r="E52" i="12818" s="1"/>
  <c r="E51" i="12818" a="1"/>
  <c r="E51" i="12818" s="1"/>
  <c r="E50" i="12818" a="1"/>
  <c r="E50" i="12818" s="1"/>
  <c r="E49" i="12818" a="1"/>
  <c r="E49" i="12818" s="1"/>
  <c r="E48" i="12818" a="1"/>
  <c r="E48" i="12818" s="1"/>
  <c r="E47" i="12818" a="1"/>
  <c r="E47" i="12818" s="1"/>
  <c r="E46" i="12818" a="1"/>
  <c r="E46" i="12818" s="1"/>
  <c r="E45" i="12818" a="1"/>
  <c r="E45" i="12818" s="1"/>
  <c r="E42" i="12818" a="1"/>
  <c r="E42" i="12818" s="1"/>
  <c r="E41" i="12818" a="1"/>
  <c r="E41" i="12818" s="1"/>
  <c r="E40" i="12818" a="1"/>
  <c r="E40" i="12818" s="1"/>
  <c r="E34" i="12818" a="1"/>
  <c r="E34" i="12818" s="1"/>
  <c r="E33" i="12818" a="1"/>
  <c r="E33" i="12818" s="1"/>
  <c r="E32" i="12818" a="1"/>
  <c r="E32" i="12818" s="1"/>
  <c r="E31" i="12818" a="1"/>
  <c r="E31" i="12818" s="1"/>
  <c r="E30" i="12818" a="1"/>
  <c r="E30" i="12818" s="1"/>
  <c r="E29" i="12818" a="1"/>
  <c r="E29" i="12818" s="1"/>
  <c r="E28" i="12818" a="1"/>
  <c r="E28" i="12818" s="1"/>
  <c r="E27" i="12818" a="1"/>
  <c r="E27" i="12818" s="1"/>
  <c r="E24" i="12818" a="1"/>
  <c r="E24" i="12818" s="1"/>
  <c r="E23" i="12818" a="1"/>
  <c r="E23" i="12818" s="1"/>
  <c r="E22" i="12818" a="1"/>
  <c r="E22" i="12818" s="1"/>
  <c r="E17" i="12818" a="1"/>
  <c r="E17" i="12818" s="1"/>
  <c r="E16" i="12818" a="1"/>
  <c r="E16" i="12818" s="1"/>
  <c r="E15" i="12818" a="1"/>
  <c r="E15" i="12818" s="1"/>
  <c r="E14" i="12818" a="1"/>
  <c r="E14" i="12818" s="1"/>
  <c r="E13" i="12818" a="1"/>
  <c r="E13" i="12818" s="1"/>
  <c r="E12" i="12818" a="1"/>
  <c r="E12" i="12818" s="1"/>
  <c r="E11" i="12818" a="1"/>
  <c r="E11" i="12818" s="1"/>
  <c r="E10" i="12818" a="1"/>
  <c r="E10" i="12818" s="1"/>
  <c r="E9" i="12818" a="1"/>
  <c r="E9" i="12818" s="1"/>
  <c r="M25" i="12818" l="1"/>
  <c r="M87" i="12818"/>
  <c r="M78" i="12818"/>
  <c r="M62" i="12818"/>
  <c r="M43" i="12818"/>
  <c r="N10" i="12818"/>
  <c r="N11" i="12818"/>
  <c r="N12" i="12818"/>
  <c r="N13" i="12818"/>
  <c r="N14" i="12818"/>
  <c r="N15" i="12818"/>
  <c r="K16" i="12818" a="1"/>
  <c r="K16" i="12818" s="1"/>
  <c r="N16" i="12818"/>
  <c r="K17" i="12818" a="1"/>
  <c r="K17" i="12818" s="1"/>
  <c r="N17" i="12818"/>
  <c r="K18" i="12818" a="1"/>
  <c r="K18" i="12818" s="1"/>
  <c r="N18" i="12818"/>
  <c r="K19" i="12818" a="1"/>
  <c r="K19" i="12818" s="1"/>
  <c r="K20" i="12818" a="1"/>
  <c r="K20" i="12818" s="1"/>
  <c r="N20" i="12818"/>
  <c r="K21" i="12818" a="1"/>
  <c r="K21" i="12818" s="1"/>
  <c r="N21" i="12818"/>
  <c r="K22" i="12818" a="1"/>
  <c r="K22" i="12818" s="1"/>
  <c r="N22" i="12818"/>
  <c r="K23" i="12818" a="1"/>
  <c r="K23" i="12818" s="1"/>
  <c r="N23" i="12818"/>
  <c r="K24" i="12818" a="1"/>
  <c r="K24" i="12818" s="1"/>
  <c r="N24" i="12818"/>
  <c r="N27" i="12818"/>
  <c r="N28" i="12818"/>
  <c r="N29" i="12818"/>
  <c r="N30" i="12818"/>
  <c r="N31" i="12818"/>
  <c r="N32" i="12818"/>
  <c r="K33" i="12818" a="1"/>
  <c r="K33" i="12818" s="1"/>
  <c r="N33" i="12818"/>
  <c r="K34" i="12818" a="1"/>
  <c r="K34" i="12818" s="1"/>
  <c r="N34" i="12818"/>
  <c r="K35" i="12818" a="1"/>
  <c r="K35" i="12818" s="1"/>
  <c r="N35" i="12818"/>
  <c r="K36" i="12818" a="1"/>
  <c r="K36" i="12818" s="1"/>
  <c r="K37" i="12818" a="1"/>
  <c r="K37" i="12818" s="1"/>
  <c r="K38" i="12818" a="1"/>
  <c r="K38" i="12818" s="1"/>
  <c r="K39" i="12818" a="1"/>
  <c r="K39" i="12818" s="1"/>
  <c r="N39" i="12818"/>
  <c r="K40" i="12818" a="1"/>
  <c r="K40" i="12818" s="1"/>
  <c r="N40" i="12818"/>
  <c r="K41" i="12818" a="1"/>
  <c r="K41" i="12818" s="1"/>
  <c r="N41" i="12818"/>
  <c r="K42" i="12818" a="1"/>
  <c r="K42" i="12818" s="1"/>
  <c r="N42" i="12818"/>
  <c r="N45" i="12818"/>
  <c r="N46" i="12818"/>
  <c r="N47" i="12818"/>
  <c r="N48" i="12818"/>
  <c r="N49" i="12818"/>
  <c r="N50" i="12818"/>
  <c r="K51" i="12818" a="1"/>
  <c r="K51" i="12818" s="1"/>
  <c r="N51" i="12818"/>
  <c r="K52" i="12818" a="1"/>
  <c r="K52" i="12818" s="1"/>
  <c r="N52" i="12818"/>
  <c r="K53" i="12818" a="1"/>
  <c r="K53" i="12818" s="1"/>
  <c r="N53" i="12818"/>
  <c r="K54" i="12818" a="1"/>
  <c r="K54" i="12818" s="1"/>
  <c r="N54" i="12818"/>
  <c r="K55" i="12818" a="1"/>
  <c r="K55" i="12818" s="1"/>
  <c r="N55" i="12818"/>
  <c r="K58" i="12818" a="1"/>
  <c r="K58" i="12818" s="1"/>
  <c r="N58" i="12818"/>
  <c r="K56" i="12818" a="1"/>
  <c r="K56" i="12818" s="1"/>
  <c r="N56" i="12818"/>
  <c r="K57" i="12818" a="1"/>
  <c r="K57" i="12818" s="1"/>
  <c r="N57" i="12818"/>
  <c r="K59" i="12818" a="1"/>
  <c r="K59" i="12818" s="1"/>
  <c r="N59" i="12818"/>
  <c r="K60" i="12818" a="1"/>
  <c r="K60" i="12818" s="1"/>
  <c r="N60" i="12818"/>
  <c r="K61" i="12818" a="1"/>
  <c r="K61" i="12818" s="1"/>
  <c r="N61" i="12818"/>
  <c r="N64" i="12818"/>
  <c r="N65" i="12818"/>
  <c r="N66" i="12818"/>
  <c r="N67" i="12818"/>
  <c r="N68" i="12818"/>
  <c r="N69" i="12818"/>
  <c r="N70" i="12818"/>
  <c r="K71" i="12818" a="1"/>
  <c r="K71" i="12818" s="1"/>
  <c r="N71" i="12818"/>
  <c r="K72" i="12818" a="1"/>
  <c r="K72" i="12818" s="1"/>
  <c r="N72" i="12818"/>
  <c r="K73" i="12818" a="1"/>
  <c r="K73" i="12818" s="1"/>
  <c r="N73" i="12818"/>
  <c r="K74" i="12818" a="1"/>
  <c r="K74" i="12818" s="1"/>
  <c r="K75" i="12818" a="1"/>
  <c r="K75" i="12818" s="1"/>
  <c r="N75" i="12818"/>
  <c r="K76" i="12818" a="1"/>
  <c r="K76" i="12818" s="1"/>
  <c r="N76" i="12818"/>
  <c r="K77" i="12818" a="1"/>
  <c r="K77" i="12818" s="1"/>
  <c r="N77" i="12818"/>
  <c r="L80" i="12818"/>
  <c r="N80" i="12818"/>
  <c r="L81" i="12818"/>
  <c r="N81" i="12818"/>
  <c r="L82" i="12818"/>
  <c r="N82" i="12818"/>
  <c r="K83" i="12818" a="1"/>
  <c r="K83" i="12818" s="1"/>
  <c r="L83" i="12818"/>
  <c r="N83" i="12818"/>
  <c r="K84" i="12818" a="1"/>
  <c r="K84" i="12818" s="1"/>
  <c r="L84" i="12818"/>
  <c r="N84" i="12818"/>
  <c r="K85" i="12818" a="1"/>
  <c r="K85" i="12818" s="1"/>
  <c r="L85" i="12818"/>
  <c r="N85" i="12818"/>
  <c r="K86" i="12818" a="1"/>
  <c r="K86" i="12818" s="1"/>
  <c r="L86" i="12818"/>
  <c r="N86" i="12818"/>
  <c r="N9" i="12818"/>
  <c r="U56" i="12818"/>
  <c r="T56" i="12818"/>
  <c r="U55" i="12818"/>
  <c r="T55" i="12818"/>
  <c r="U54" i="12818"/>
  <c r="T54" i="12818"/>
  <c r="U53" i="12818"/>
  <c r="T53" i="12818"/>
  <c r="U37" i="12818"/>
  <c r="T37" i="12818"/>
  <c r="U36" i="12818"/>
  <c r="T36" i="12818"/>
  <c r="U35" i="12818"/>
  <c r="T35" i="12818"/>
  <c r="B4" i="12819"/>
  <c r="N62" i="12818" l="1"/>
  <c r="L87" i="12818"/>
  <c r="M89" i="12818"/>
  <c r="N87" i="12818"/>
  <c r="G75" i="12818" l="1"/>
  <c r="I75" i="12818"/>
  <c r="G76" i="12818"/>
  <c r="I76" i="12818"/>
  <c r="G77" i="12818"/>
  <c r="I77" i="12818"/>
  <c r="G59" i="12818"/>
  <c r="I59" i="12818"/>
  <c r="G60" i="12818"/>
  <c r="I60" i="12818"/>
  <c r="G61" i="12818"/>
  <c r="I61" i="12818"/>
  <c r="G39" i="12818"/>
  <c r="G40" i="12818"/>
  <c r="I40" i="12818"/>
  <c r="G41" i="12818"/>
  <c r="I41" i="12818"/>
  <c r="G42" i="12818"/>
  <c r="I42" i="12818"/>
  <c r="G22" i="12818"/>
  <c r="I22" i="12818"/>
  <c r="G23" i="12818"/>
  <c r="I23" i="12818"/>
  <c r="G24" i="12818"/>
  <c r="I24" i="12818"/>
  <c r="G21" i="12818"/>
  <c r="I189" i="12817" l="1"/>
  <c r="I190" i="12817"/>
  <c r="G36" i="12818" s="1"/>
  <c r="I191" i="12817"/>
  <c r="G37" i="12818" s="1"/>
  <c r="I192" i="12817"/>
  <c r="G38" i="12818" s="1"/>
  <c r="I193" i="12817"/>
  <c r="U233" i="12817" l="1"/>
  <c r="T233" i="12817"/>
  <c r="S233" i="12817"/>
  <c r="R233" i="12817"/>
  <c r="Q233" i="12817"/>
  <c r="P233" i="12817"/>
  <c r="O233" i="12817"/>
  <c r="N233" i="12817"/>
  <c r="M233" i="12817"/>
  <c r="L233" i="12817"/>
  <c r="K233" i="12817"/>
  <c r="U232" i="12817"/>
  <c r="T232" i="12817"/>
  <c r="S232" i="12817"/>
  <c r="R232" i="12817"/>
  <c r="Q232" i="12817"/>
  <c r="P232" i="12817"/>
  <c r="O232" i="12817"/>
  <c r="N232" i="12817"/>
  <c r="M232" i="12817"/>
  <c r="L232" i="12817"/>
  <c r="K232" i="12817"/>
  <c r="U231" i="12817"/>
  <c r="T231" i="12817"/>
  <c r="S231" i="12817"/>
  <c r="R231" i="12817"/>
  <c r="Q231" i="12817"/>
  <c r="P231" i="12817"/>
  <c r="O231" i="12817"/>
  <c r="N231" i="12817"/>
  <c r="M231" i="12817"/>
  <c r="L231" i="12817"/>
  <c r="K231" i="12817"/>
  <c r="U230" i="12817"/>
  <c r="T230" i="12817"/>
  <c r="S230" i="12817"/>
  <c r="R230" i="12817"/>
  <c r="Q230" i="12817"/>
  <c r="P230" i="12817"/>
  <c r="O230" i="12817"/>
  <c r="N230" i="12817"/>
  <c r="M230" i="12817"/>
  <c r="L230" i="12817"/>
  <c r="K230" i="12817"/>
  <c r="U229" i="12817"/>
  <c r="T229" i="12817"/>
  <c r="S229" i="12817"/>
  <c r="R229" i="12817"/>
  <c r="Q229" i="12817"/>
  <c r="P229" i="12817"/>
  <c r="O229" i="12817"/>
  <c r="N229" i="12817"/>
  <c r="M229" i="12817"/>
  <c r="L229" i="12817"/>
  <c r="K229" i="12817"/>
  <c r="U228" i="12817"/>
  <c r="T228" i="12817"/>
  <c r="S228" i="12817"/>
  <c r="R228" i="12817"/>
  <c r="Q228" i="12817"/>
  <c r="P228" i="12817"/>
  <c r="O228" i="12817"/>
  <c r="N228" i="12817"/>
  <c r="M228" i="12817"/>
  <c r="L228" i="12817"/>
  <c r="K228" i="12817"/>
  <c r="U227" i="12817"/>
  <c r="T227" i="12817"/>
  <c r="S227" i="12817"/>
  <c r="R227" i="12817"/>
  <c r="Q227" i="12817"/>
  <c r="P227" i="12817"/>
  <c r="O227" i="12817"/>
  <c r="N227" i="12817"/>
  <c r="M227" i="12817"/>
  <c r="L227" i="12817"/>
  <c r="K227" i="12817"/>
  <c r="U226" i="12817"/>
  <c r="T226" i="12817"/>
  <c r="S226" i="12817"/>
  <c r="R226" i="12817"/>
  <c r="Q226" i="12817"/>
  <c r="P226" i="12817"/>
  <c r="O226" i="12817"/>
  <c r="N226" i="12817"/>
  <c r="M226" i="12817"/>
  <c r="L226" i="12817"/>
  <c r="K226" i="12817"/>
  <c r="U225" i="12817"/>
  <c r="T225" i="12817"/>
  <c r="S225" i="12817"/>
  <c r="R225" i="12817"/>
  <c r="Q225" i="12817"/>
  <c r="P225" i="12817"/>
  <c r="O225" i="12817"/>
  <c r="N225" i="12817"/>
  <c r="M225" i="12817"/>
  <c r="L225" i="12817"/>
  <c r="K225" i="12817"/>
  <c r="U224" i="12817"/>
  <c r="T224" i="12817"/>
  <c r="S224" i="12817"/>
  <c r="R224" i="12817"/>
  <c r="Q224" i="12817"/>
  <c r="P224" i="12817"/>
  <c r="O224" i="12817"/>
  <c r="N224" i="12817"/>
  <c r="M224" i="12817"/>
  <c r="L224" i="12817"/>
  <c r="K224" i="12817"/>
  <c r="U223" i="12817"/>
  <c r="T223" i="12817"/>
  <c r="S223" i="12817"/>
  <c r="R223" i="12817"/>
  <c r="Q223" i="12817"/>
  <c r="P223" i="12817"/>
  <c r="O223" i="12817"/>
  <c r="N223" i="12817"/>
  <c r="M223" i="12817"/>
  <c r="L223" i="12817"/>
  <c r="K223" i="12817"/>
  <c r="U222" i="12817"/>
  <c r="T222" i="12817"/>
  <c r="S222" i="12817"/>
  <c r="R222" i="12817"/>
  <c r="Q222" i="12817"/>
  <c r="P222" i="12817"/>
  <c r="O222" i="12817"/>
  <c r="N222" i="12817"/>
  <c r="M222" i="12817"/>
  <c r="L222" i="12817"/>
  <c r="K222" i="12817"/>
  <c r="U221" i="12817"/>
  <c r="T221" i="12817"/>
  <c r="S221" i="12817"/>
  <c r="R221" i="12817"/>
  <c r="Q221" i="12817"/>
  <c r="P221" i="12817"/>
  <c r="O221" i="12817"/>
  <c r="N221" i="12817"/>
  <c r="M221" i="12817"/>
  <c r="L221" i="12817"/>
  <c r="K221" i="12817"/>
  <c r="U220" i="12817"/>
  <c r="T220" i="12817"/>
  <c r="S220" i="12817"/>
  <c r="R220" i="12817"/>
  <c r="Q220" i="12817"/>
  <c r="P220" i="12817"/>
  <c r="O220" i="12817"/>
  <c r="N220" i="12817"/>
  <c r="M220" i="12817"/>
  <c r="L220" i="12817"/>
  <c r="K220" i="12817"/>
  <c r="U219" i="12817"/>
  <c r="T219" i="12817"/>
  <c r="S219" i="12817"/>
  <c r="R219" i="12817"/>
  <c r="Q219" i="12817"/>
  <c r="P219" i="12817"/>
  <c r="O219" i="12817"/>
  <c r="N219" i="12817"/>
  <c r="M219" i="12817"/>
  <c r="L219" i="12817"/>
  <c r="K219" i="12817"/>
  <c r="U218" i="12817"/>
  <c r="T218" i="12817"/>
  <c r="S218" i="12817"/>
  <c r="R218" i="12817"/>
  <c r="Q218" i="12817"/>
  <c r="P218" i="12817"/>
  <c r="O218" i="12817"/>
  <c r="N218" i="12817"/>
  <c r="M218" i="12817"/>
  <c r="L218" i="12817"/>
  <c r="K218" i="12817"/>
  <c r="U217" i="12817"/>
  <c r="T217" i="12817"/>
  <c r="S217" i="12817"/>
  <c r="R217" i="12817"/>
  <c r="Q217" i="12817"/>
  <c r="P217" i="12817"/>
  <c r="O217" i="12817"/>
  <c r="N217" i="12817"/>
  <c r="M217" i="12817"/>
  <c r="L217" i="12817"/>
  <c r="K217" i="12817"/>
  <c r="U216" i="12817"/>
  <c r="T216" i="12817"/>
  <c r="S216" i="12817"/>
  <c r="R216" i="12817"/>
  <c r="Q216" i="12817"/>
  <c r="P216" i="12817"/>
  <c r="O216" i="12817"/>
  <c r="N216" i="12817"/>
  <c r="M216" i="12817"/>
  <c r="L216" i="12817"/>
  <c r="K216" i="12817"/>
  <c r="U215" i="12817"/>
  <c r="U276" i="12817" s="1"/>
  <c r="T215" i="12817"/>
  <c r="T276" i="12817" s="1"/>
  <c r="S215" i="12817"/>
  <c r="S276" i="12817" s="1"/>
  <c r="R215" i="12817"/>
  <c r="R276" i="12817" s="1"/>
  <c r="Q215" i="12817"/>
  <c r="Q276" i="12817" s="1"/>
  <c r="P215" i="12817"/>
  <c r="P276" i="12817" s="1"/>
  <c r="O215" i="12817"/>
  <c r="O276" i="12817" s="1"/>
  <c r="N215" i="12817"/>
  <c r="N276" i="12817" s="1"/>
  <c r="M215" i="12817"/>
  <c r="M276" i="12817" s="1"/>
  <c r="L215" i="12817"/>
  <c r="L276" i="12817" s="1"/>
  <c r="K215" i="12817"/>
  <c r="K276" i="12817" s="1"/>
  <c r="U214" i="12817"/>
  <c r="T214" i="12817"/>
  <c r="S214" i="12817"/>
  <c r="R214" i="12817"/>
  <c r="Q214" i="12817"/>
  <c r="P214" i="12817"/>
  <c r="O214" i="12817"/>
  <c r="N214" i="12817"/>
  <c r="M214" i="12817"/>
  <c r="L214" i="12817"/>
  <c r="K214" i="12817"/>
  <c r="U213" i="12817"/>
  <c r="T213" i="12817"/>
  <c r="S213" i="12817"/>
  <c r="R213" i="12817"/>
  <c r="Q213" i="12817"/>
  <c r="P213" i="12817"/>
  <c r="O213" i="12817"/>
  <c r="N213" i="12817"/>
  <c r="M213" i="12817"/>
  <c r="L213" i="12817"/>
  <c r="K213" i="12817"/>
  <c r="U212" i="12817"/>
  <c r="T212" i="12817"/>
  <c r="S212" i="12817"/>
  <c r="R212" i="12817"/>
  <c r="Q212" i="12817"/>
  <c r="P212" i="12817"/>
  <c r="O212" i="12817"/>
  <c r="N212" i="12817"/>
  <c r="M212" i="12817"/>
  <c r="L212" i="12817"/>
  <c r="K212" i="12817"/>
  <c r="U211" i="12817"/>
  <c r="T211" i="12817"/>
  <c r="S211" i="12817"/>
  <c r="R211" i="12817"/>
  <c r="Q211" i="12817"/>
  <c r="P211" i="12817"/>
  <c r="O211" i="12817"/>
  <c r="N211" i="12817"/>
  <c r="M211" i="12817"/>
  <c r="L211" i="12817"/>
  <c r="K211" i="12817"/>
  <c r="U210" i="12817"/>
  <c r="T210" i="12817"/>
  <c r="S210" i="12817"/>
  <c r="R210" i="12817"/>
  <c r="Q210" i="12817"/>
  <c r="P210" i="12817"/>
  <c r="O210" i="12817"/>
  <c r="N210" i="12817"/>
  <c r="M210" i="12817"/>
  <c r="L210" i="12817"/>
  <c r="K210" i="12817"/>
  <c r="U209" i="12817"/>
  <c r="T209" i="12817"/>
  <c r="S209" i="12817"/>
  <c r="R209" i="12817"/>
  <c r="Q209" i="12817"/>
  <c r="P209" i="12817"/>
  <c r="O209" i="12817"/>
  <c r="N209" i="12817"/>
  <c r="M209" i="12817"/>
  <c r="L209" i="12817"/>
  <c r="K209" i="12817"/>
  <c r="U208" i="12817"/>
  <c r="T208" i="12817"/>
  <c r="S208" i="12817"/>
  <c r="R208" i="12817"/>
  <c r="Q208" i="12817"/>
  <c r="P208" i="12817"/>
  <c r="O208" i="12817"/>
  <c r="N208" i="12817"/>
  <c r="M208" i="12817"/>
  <c r="L208" i="12817"/>
  <c r="K208" i="12817"/>
  <c r="U207" i="12817"/>
  <c r="T207" i="12817"/>
  <c r="S207" i="12817"/>
  <c r="R207" i="12817"/>
  <c r="Q207" i="12817"/>
  <c r="P207" i="12817"/>
  <c r="O207" i="12817"/>
  <c r="N207" i="12817"/>
  <c r="M207" i="12817"/>
  <c r="L207" i="12817"/>
  <c r="K207" i="12817"/>
  <c r="U206" i="12817"/>
  <c r="T206" i="12817"/>
  <c r="S206" i="12817"/>
  <c r="R206" i="12817"/>
  <c r="Q206" i="12817"/>
  <c r="P206" i="12817"/>
  <c r="O206" i="12817"/>
  <c r="N206" i="12817"/>
  <c r="M206" i="12817"/>
  <c r="L206" i="12817"/>
  <c r="K206" i="12817"/>
  <c r="U205" i="12817"/>
  <c r="T205" i="12817"/>
  <c r="S205" i="12817"/>
  <c r="R205" i="12817"/>
  <c r="Q205" i="12817"/>
  <c r="P205" i="12817"/>
  <c r="O205" i="12817"/>
  <c r="N205" i="12817"/>
  <c r="M205" i="12817"/>
  <c r="L205" i="12817"/>
  <c r="K205" i="12817"/>
  <c r="U204" i="12817"/>
  <c r="T204" i="12817"/>
  <c r="S204" i="12817"/>
  <c r="R204" i="12817"/>
  <c r="Q204" i="12817"/>
  <c r="P204" i="12817"/>
  <c r="O204" i="12817"/>
  <c r="N204" i="12817"/>
  <c r="M204" i="12817"/>
  <c r="L204" i="12817"/>
  <c r="K204" i="12817"/>
  <c r="U203" i="12817"/>
  <c r="T203" i="12817"/>
  <c r="S203" i="12817"/>
  <c r="R203" i="12817"/>
  <c r="Q203" i="12817"/>
  <c r="P203" i="12817"/>
  <c r="O203" i="12817"/>
  <c r="N203" i="12817"/>
  <c r="M203" i="12817"/>
  <c r="L203" i="12817"/>
  <c r="K203" i="12817"/>
  <c r="U202" i="12817"/>
  <c r="T202" i="12817"/>
  <c r="S202" i="12817"/>
  <c r="R202" i="12817"/>
  <c r="Q202" i="12817"/>
  <c r="P202" i="12817"/>
  <c r="O202" i="12817"/>
  <c r="N202" i="12817"/>
  <c r="M202" i="12817"/>
  <c r="L202" i="12817"/>
  <c r="K202" i="12817"/>
  <c r="U201" i="12817"/>
  <c r="T201" i="12817"/>
  <c r="S201" i="12817"/>
  <c r="R201" i="12817"/>
  <c r="Q201" i="12817"/>
  <c r="P201" i="12817"/>
  <c r="O201" i="12817"/>
  <c r="N201" i="12817"/>
  <c r="M201" i="12817"/>
  <c r="L201" i="12817"/>
  <c r="K201" i="12817"/>
  <c r="U200" i="12817"/>
  <c r="T200" i="12817"/>
  <c r="S200" i="12817"/>
  <c r="R200" i="12817"/>
  <c r="Q200" i="12817"/>
  <c r="P200" i="12817"/>
  <c r="O200" i="12817"/>
  <c r="N200" i="12817"/>
  <c r="M200" i="12817"/>
  <c r="L200" i="12817"/>
  <c r="K200" i="12817"/>
  <c r="U199" i="12817"/>
  <c r="T199" i="12817"/>
  <c r="S199" i="12817"/>
  <c r="R199" i="12817"/>
  <c r="Q199" i="12817"/>
  <c r="P199" i="12817"/>
  <c r="O199" i="12817"/>
  <c r="N199" i="12817"/>
  <c r="M199" i="12817"/>
  <c r="L199" i="12817"/>
  <c r="K199" i="12817"/>
  <c r="U198" i="12817"/>
  <c r="T198" i="12817"/>
  <c r="S198" i="12817"/>
  <c r="R198" i="12817"/>
  <c r="Q198" i="12817"/>
  <c r="P198" i="12817"/>
  <c r="O198" i="12817"/>
  <c r="N198" i="12817"/>
  <c r="M198" i="12817"/>
  <c r="L198" i="12817"/>
  <c r="K198" i="12817"/>
  <c r="U197" i="12817"/>
  <c r="T197" i="12817"/>
  <c r="S197" i="12817"/>
  <c r="R197" i="12817"/>
  <c r="Q197" i="12817"/>
  <c r="P197" i="12817"/>
  <c r="O197" i="12817"/>
  <c r="N197" i="12817"/>
  <c r="M197" i="12817"/>
  <c r="L197" i="12817"/>
  <c r="K197" i="12817"/>
  <c r="U196" i="12817"/>
  <c r="T196" i="12817"/>
  <c r="S196" i="12817"/>
  <c r="R196" i="12817"/>
  <c r="Q196" i="12817"/>
  <c r="P196" i="12817"/>
  <c r="O196" i="12817"/>
  <c r="N196" i="12817"/>
  <c r="M196" i="12817"/>
  <c r="L196" i="12817"/>
  <c r="K196" i="12817"/>
  <c r="U195" i="12817"/>
  <c r="T195" i="12817"/>
  <c r="S195" i="12817"/>
  <c r="R195" i="12817"/>
  <c r="Q195" i="12817"/>
  <c r="P195" i="12817"/>
  <c r="O195" i="12817"/>
  <c r="N195" i="12817"/>
  <c r="M195" i="12817"/>
  <c r="L195" i="12817"/>
  <c r="K195" i="12817"/>
  <c r="J233" i="12817"/>
  <c r="J232" i="12817"/>
  <c r="J231" i="12817"/>
  <c r="J230" i="12817"/>
  <c r="J229" i="12817"/>
  <c r="J228" i="12817"/>
  <c r="J227" i="12817"/>
  <c r="J226" i="12817"/>
  <c r="J225" i="12817"/>
  <c r="J224" i="12817"/>
  <c r="J223" i="12817"/>
  <c r="J222" i="12817"/>
  <c r="J221" i="12817"/>
  <c r="J220" i="12817"/>
  <c r="J219" i="12817"/>
  <c r="J218" i="12817"/>
  <c r="J217" i="12817"/>
  <c r="J216" i="12817"/>
  <c r="J215" i="12817"/>
  <c r="J276" i="12817" s="1"/>
  <c r="J214" i="12817"/>
  <c r="J213" i="12817"/>
  <c r="J212" i="12817"/>
  <c r="J211" i="12817"/>
  <c r="J210" i="12817"/>
  <c r="J209" i="12817"/>
  <c r="J208" i="12817"/>
  <c r="J207" i="12817"/>
  <c r="J206" i="12817"/>
  <c r="J205" i="12817"/>
  <c r="J204" i="12817"/>
  <c r="J203" i="12817"/>
  <c r="J202" i="12817"/>
  <c r="J201" i="12817"/>
  <c r="J200" i="12817"/>
  <c r="J199" i="12817"/>
  <c r="J198" i="12817"/>
  <c r="J197" i="12817"/>
  <c r="J196" i="12817"/>
  <c r="J195" i="12817"/>
  <c r="K275" i="12817" l="1"/>
  <c r="S275" i="12817"/>
  <c r="O275" i="12817"/>
  <c r="P273" i="12817"/>
  <c r="R272" i="12817"/>
  <c r="T272" i="12817"/>
  <c r="M274" i="12817"/>
  <c r="U274" i="12817"/>
  <c r="P272" i="12817"/>
  <c r="Q273" i="12817"/>
  <c r="Q274" i="12817"/>
  <c r="S272" i="12817"/>
  <c r="L273" i="12817"/>
  <c r="T273" i="12817"/>
  <c r="N272" i="12817"/>
  <c r="R273" i="12817"/>
  <c r="R274" i="12817"/>
  <c r="L275" i="12817"/>
  <c r="T275" i="12817"/>
  <c r="L274" i="12817"/>
  <c r="T274" i="12817"/>
  <c r="N275" i="12817"/>
  <c r="O273" i="12817"/>
  <c r="O274" i="12817"/>
  <c r="Q275" i="12817"/>
  <c r="Q17" i="12820"/>
  <c r="S56" i="12820" s="1"/>
  <c r="S45" i="12821"/>
  <c r="S44" i="12821"/>
  <c r="Q16" i="12820"/>
  <c r="K272" i="12817"/>
  <c r="O272" i="12817"/>
  <c r="L272" i="12817"/>
  <c r="J272" i="12817"/>
  <c r="J273" i="12817"/>
  <c r="J274" i="12817"/>
  <c r="Q272" i="12817"/>
  <c r="S17" i="12821"/>
  <c r="S16" i="12821"/>
  <c r="K273" i="12817"/>
  <c r="S273" i="12817"/>
  <c r="S31" i="12821"/>
  <c r="S30" i="12821"/>
  <c r="K274" i="12817"/>
  <c r="S274" i="12817"/>
  <c r="M275" i="12817"/>
  <c r="U275" i="12817"/>
  <c r="J275" i="12817"/>
  <c r="S13" i="12821"/>
  <c r="S12" i="12821"/>
  <c r="S47" i="12821"/>
  <c r="S46" i="12821"/>
  <c r="M273" i="12817"/>
  <c r="S27" i="12821"/>
  <c r="U273" i="12817"/>
  <c r="S26" i="12821"/>
  <c r="M272" i="12817"/>
  <c r="Q15" i="12820"/>
  <c r="U272" i="12817"/>
  <c r="Q14" i="12820"/>
  <c r="N273" i="12817"/>
  <c r="S43" i="12821"/>
  <c r="S42" i="12821"/>
  <c r="N274" i="12817"/>
  <c r="P275" i="12817"/>
  <c r="S15" i="12821"/>
  <c r="S14" i="12821"/>
  <c r="S29" i="12821"/>
  <c r="S28" i="12821"/>
  <c r="P274" i="12817"/>
  <c r="R275" i="12817"/>
  <c r="G81" i="12818"/>
  <c r="G82" i="12818"/>
  <c r="G83" i="12818"/>
  <c r="G84" i="12818"/>
  <c r="G85" i="12818"/>
  <c r="G86" i="12818"/>
  <c r="G80" i="12818"/>
  <c r="G65" i="12818"/>
  <c r="G66" i="12818"/>
  <c r="G67" i="12818"/>
  <c r="G68" i="12818"/>
  <c r="G69" i="12818"/>
  <c r="G70" i="12818"/>
  <c r="G71" i="12818"/>
  <c r="G72" i="12818"/>
  <c r="G73" i="12818"/>
  <c r="G64" i="12818"/>
  <c r="G46" i="12818"/>
  <c r="G47" i="12818"/>
  <c r="G48" i="12818"/>
  <c r="G49" i="12818"/>
  <c r="G50" i="12818"/>
  <c r="G51" i="12818"/>
  <c r="G52" i="12818"/>
  <c r="G53" i="12818"/>
  <c r="G54" i="12818"/>
  <c r="G55" i="12818"/>
  <c r="G58" i="12818"/>
  <c r="G56" i="12818"/>
  <c r="G57" i="12818"/>
  <c r="G45" i="12818"/>
  <c r="G35" i="12818"/>
  <c r="G34" i="12818"/>
  <c r="G33" i="12818"/>
  <c r="G32" i="12818"/>
  <c r="G31" i="12818"/>
  <c r="G30" i="12818"/>
  <c r="G29" i="12818"/>
  <c r="G28" i="12818"/>
  <c r="G27" i="12818"/>
  <c r="G10" i="12818"/>
  <c r="G11" i="12818"/>
  <c r="G12" i="12818"/>
  <c r="G13" i="12818"/>
  <c r="G14" i="12818"/>
  <c r="G15" i="12818"/>
  <c r="G16" i="12818"/>
  <c r="G17" i="12818"/>
  <c r="G18" i="12818"/>
  <c r="G20" i="12818"/>
  <c r="G9" i="12818"/>
  <c r="G19" i="12818"/>
  <c r="G74" i="12818"/>
  <c r="I9" i="12818"/>
  <c r="I10" i="12818"/>
  <c r="I11" i="12818"/>
  <c r="I12" i="12818"/>
  <c r="I13" i="12818"/>
  <c r="I14" i="12818"/>
  <c r="I15" i="12818"/>
  <c r="I16" i="12818"/>
  <c r="I17" i="12818"/>
  <c r="I27" i="12818"/>
  <c r="I28" i="12818"/>
  <c r="I29" i="12818"/>
  <c r="I30" i="12818"/>
  <c r="I31" i="12818"/>
  <c r="I32" i="12818"/>
  <c r="I33" i="12818"/>
  <c r="I34" i="12818"/>
  <c r="I45" i="12818"/>
  <c r="I46" i="12818"/>
  <c r="I47" i="12818"/>
  <c r="I48" i="12818"/>
  <c r="I49" i="12818"/>
  <c r="I50" i="12818"/>
  <c r="I51" i="12818"/>
  <c r="I52" i="12818"/>
  <c r="I64" i="12818"/>
  <c r="I65" i="12818"/>
  <c r="I66" i="12818"/>
  <c r="I67" i="12818"/>
  <c r="I68" i="12818"/>
  <c r="I69" i="12818"/>
  <c r="I70" i="12818"/>
  <c r="I71" i="12818"/>
  <c r="I72" i="12818"/>
  <c r="I73" i="12818"/>
  <c r="I80" i="12818"/>
  <c r="I81" i="12818"/>
  <c r="I82" i="12818"/>
  <c r="I83" i="12818"/>
  <c r="I86" i="12818"/>
  <c r="X64" i="12820" l="1"/>
  <c r="X41" i="12820"/>
  <c r="X65" i="12820"/>
  <c r="X40" i="12820"/>
  <c r="X67" i="12820"/>
  <c r="X43" i="12820"/>
  <c r="X66" i="12820"/>
  <c r="X42" i="12820"/>
  <c r="W71" i="12820"/>
  <c r="W47" i="12820"/>
  <c r="W69" i="12820"/>
  <c r="W45" i="12820"/>
  <c r="W67" i="12820"/>
  <c r="W43" i="12820"/>
  <c r="W41" i="12820"/>
  <c r="W65" i="12820"/>
  <c r="W44" i="12820"/>
  <c r="W68" i="12820"/>
  <c r="W66" i="12820"/>
  <c r="W64" i="12820"/>
  <c r="W46" i="12820"/>
  <c r="W40" i="12820"/>
  <c r="W70" i="12820"/>
  <c r="W42" i="12820"/>
  <c r="U252" i="12821"/>
  <c r="S97" i="12821"/>
  <c r="U251" i="12821"/>
  <c r="S80" i="12820"/>
  <c r="Q31" i="12820"/>
  <c r="U220" i="12821"/>
  <c r="U143" i="12821"/>
  <c r="AD124" i="12821"/>
  <c r="AD202" i="12821"/>
  <c r="Z199" i="12821" a="1"/>
  <c r="Z199" i="12821" s="1"/>
  <c r="AD125" i="12821"/>
  <c r="Z200" i="12821" a="1"/>
  <c r="Z200" i="12821" s="1"/>
  <c r="AC200" i="12821"/>
  <c r="AD200" i="12821"/>
  <c r="AD122" i="12821"/>
  <c r="Z122" i="12821" a="1"/>
  <c r="Z122" i="12821" s="1"/>
  <c r="AD123" i="12821"/>
  <c r="AC202" i="12821"/>
  <c r="AD201" i="12821"/>
  <c r="AD199" i="12821"/>
  <c r="U217" i="12821"/>
  <c r="U140" i="12821"/>
  <c r="U218" i="12821"/>
  <c r="AC199" i="12821"/>
  <c r="AC201" i="12821"/>
  <c r="U141" i="12821"/>
  <c r="U233" i="12821"/>
  <c r="U156" i="12821"/>
  <c r="U249" i="12821"/>
  <c r="U172" i="12821"/>
  <c r="U235" i="12821"/>
  <c r="U158" i="12821"/>
  <c r="U250" i="12821"/>
  <c r="U173" i="12821"/>
  <c r="U234" i="12821"/>
  <c r="U157" i="12821"/>
  <c r="U174" i="12821"/>
  <c r="U236" i="12821"/>
  <c r="U159" i="12821"/>
  <c r="U175" i="12821"/>
  <c r="Z201" i="12821" a="1"/>
  <c r="Z201" i="12821" s="1"/>
  <c r="U142" i="12821"/>
  <c r="Z202" i="12821" a="1"/>
  <c r="Z202" i="12821" s="1"/>
  <c r="U219" i="12821"/>
  <c r="S54" i="12820"/>
  <c r="S78" i="12820"/>
  <c r="S55" i="12820"/>
  <c r="S79" i="12820"/>
  <c r="S53" i="12820"/>
  <c r="V69" i="12820"/>
  <c r="V65" i="12820"/>
  <c r="V68" i="12820"/>
  <c r="V64" i="12820"/>
  <c r="V71" i="12820"/>
  <c r="V67" i="12820"/>
  <c r="S77" i="12820"/>
  <c r="V70" i="12820"/>
  <c r="V66" i="12820"/>
  <c r="Z123" i="12821" a="1"/>
  <c r="Z123" i="12821" s="1"/>
  <c r="AC125" i="12821"/>
  <c r="AB125" i="12821" s="1"/>
  <c r="AC123" i="12821"/>
  <c r="AC122" i="12821"/>
  <c r="AC124" i="12821"/>
  <c r="Z125" i="12821" a="1"/>
  <c r="Z125" i="12821" s="1"/>
  <c r="Z124" i="12821" a="1"/>
  <c r="Z124" i="12821" s="1"/>
  <c r="V46" i="12820"/>
  <c r="V47" i="12820"/>
  <c r="V45" i="12820"/>
  <c r="V44" i="12820"/>
  <c r="V41" i="12820"/>
  <c r="V42" i="12820"/>
  <c r="V43" i="12820"/>
  <c r="V40" i="12820"/>
  <c r="S82" i="12821"/>
  <c r="S96" i="12821"/>
  <c r="S72" i="12821"/>
  <c r="Q30" i="12820"/>
  <c r="S98" i="12821"/>
  <c r="S71" i="12821"/>
  <c r="S84" i="12821"/>
  <c r="S70" i="12821"/>
  <c r="S83" i="12821"/>
  <c r="G62" i="12818"/>
  <c r="G87" i="12818"/>
  <c r="G78" i="12818"/>
  <c r="G43" i="12818"/>
  <c r="G25" i="12818"/>
  <c r="AB124" i="12821" l="1"/>
  <c r="AB201" i="12821"/>
  <c r="AB199" i="12821"/>
  <c r="AB122" i="12821"/>
  <c r="AB123" i="12821"/>
  <c r="AB200" i="12821"/>
  <c r="AB202" i="12821"/>
  <c r="Y123" i="12821"/>
  <c r="X123" i="12821"/>
  <c r="Y122" i="12821"/>
  <c r="X122" i="12821"/>
  <c r="Y124" i="12821"/>
  <c r="Y125" i="12821"/>
  <c r="X125" i="12821" a="1"/>
  <c r="X125" i="12821" s="1"/>
  <c r="X124" i="12821" a="1"/>
  <c r="X124" i="12821" s="1"/>
  <c r="G89" i="12818"/>
  <c r="I4" i="12811" a="1"/>
  <c r="I4" i="12811" s="1"/>
  <c r="I5" i="12811" a="1"/>
  <c r="I5" i="12811" s="1"/>
  <c r="I6" i="12811" a="1"/>
  <c r="I6" i="12811" s="1"/>
  <c r="I7" i="12811" a="1"/>
  <c r="I7" i="12811" s="1"/>
  <c r="I8" i="12811" a="1"/>
  <c r="I8" i="12811" s="1"/>
  <c r="I9" i="12811" a="1"/>
  <c r="I9" i="12811" s="1"/>
  <c r="I10" i="12811" a="1"/>
  <c r="I10" i="12811" s="1"/>
  <c r="I11" i="12811" a="1"/>
  <c r="I11" i="12811" s="1"/>
  <c r="I12" i="12811" a="1"/>
  <c r="I12" i="12811" s="1"/>
  <c r="I13" i="12811" a="1"/>
  <c r="I13" i="12811" s="1"/>
  <c r="I14" i="12811" a="1"/>
  <c r="I14" i="12811" s="1"/>
  <c r="I15" i="12811" a="1"/>
  <c r="I15" i="12811" s="1"/>
  <c r="I16" i="12811" a="1"/>
  <c r="I16" i="12811" s="1"/>
  <c r="I17" i="12811" a="1"/>
  <c r="I17" i="12811" s="1"/>
  <c r="I18" i="12811" a="1"/>
  <c r="I18" i="12811" s="1"/>
  <c r="I19" i="12811" a="1"/>
  <c r="I19" i="12811" s="1"/>
  <c r="I20" i="12811" a="1"/>
  <c r="I20" i="12811" s="1"/>
  <c r="I21" i="12811" a="1"/>
  <c r="I21" i="12811" s="1"/>
  <c r="I22" i="12811" a="1"/>
  <c r="I22" i="12811" s="1"/>
  <c r="I23" i="12811" a="1"/>
  <c r="I23" i="12811" s="1"/>
  <c r="I24" i="12811" a="1"/>
  <c r="I24" i="12811" s="1"/>
  <c r="I25" i="12811" a="1"/>
  <c r="I25" i="12811" s="1"/>
  <c r="I26" i="12811" a="1"/>
  <c r="I26" i="12811" s="1"/>
  <c r="I27" i="12811" a="1"/>
  <c r="I27" i="12811" s="1"/>
  <c r="I28" i="12811" a="1"/>
  <c r="I28" i="12811" s="1"/>
  <c r="I29" i="12811" a="1"/>
  <c r="I29" i="12811" s="1"/>
  <c r="I30" i="12811" a="1"/>
  <c r="I30" i="12811" s="1"/>
  <c r="I31" i="12811" a="1"/>
  <c r="I31" i="12811" s="1"/>
  <c r="I32" i="12811" a="1"/>
  <c r="I32" i="12811" s="1"/>
  <c r="I33" i="12811" a="1"/>
  <c r="I33" i="12811" s="1"/>
  <c r="I34" i="12811" a="1"/>
  <c r="I34" i="12811" s="1"/>
  <c r="I35" i="12811" a="1"/>
  <c r="I35" i="12811" s="1"/>
  <c r="I36" i="12811" a="1"/>
  <c r="I36" i="12811" s="1"/>
  <c r="I37" i="12811" a="1"/>
  <c r="I37" i="12811" s="1"/>
  <c r="I38" i="12811" a="1"/>
  <c r="I38" i="12811" s="1"/>
  <c r="I39" i="12811" a="1"/>
  <c r="I39" i="12811" s="1"/>
  <c r="I40" i="12811" a="1"/>
  <c r="I40" i="12811" s="1"/>
  <c r="I41" i="12811" a="1"/>
  <c r="I41" i="12811" s="1"/>
  <c r="I42" i="12811" a="1"/>
  <c r="I42" i="12811" s="1"/>
  <c r="I43" i="12811" a="1"/>
  <c r="I43" i="12811" s="1"/>
  <c r="I44" i="12811" a="1"/>
  <c r="I44" i="12811" s="1"/>
  <c r="I45" i="12811" a="1"/>
  <c r="I45" i="12811" s="1"/>
  <c r="I46" i="12811" a="1"/>
  <c r="I46" i="12811" s="1"/>
  <c r="I47" i="12811" a="1"/>
  <c r="I47" i="12811" s="1"/>
  <c r="I48" i="12811" a="1"/>
  <c r="I48" i="12811" s="1"/>
  <c r="I49" i="12811" a="1"/>
  <c r="I49" i="12811" s="1"/>
  <c r="I50" i="12811" a="1"/>
  <c r="I50" i="12811" s="1"/>
  <c r="I51" i="12811" a="1"/>
  <c r="I51" i="12811" s="1"/>
  <c r="I52" i="12811" a="1"/>
  <c r="I52" i="12811" s="1"/>
  <c r="I53" i="12811" a="1"/>
  <c r="I53" i="12811" s="1"/>
  <c r="I54" i="12811" a="1"/>
  <c r="I54" i="12811" s="1"/>
  <c r="I55" i="12811" a="1"/>
  <c r="I55" i="12811" s="1"/>
  <c r="I56" i="12811" a="1"/>
  <c r="I56" i="12811" s="1"/>
  <c r="I57" i="12811" a="1"/>
  <c r="I57" i="12811" s="1"/>
  <c r="I58" i="12811" a="1"/>
  <c r="I58" i="12811" s="1"/>
  <c r="I59" i="12811" a="1"/>
  <c r="I59" i="12811" s="1"/>
  <c r="I60" i="12811" a="1"/>
  <c r="I60" i="12811" s="1"/>
  <c r="I61" i="12811" a="1"/>
  <c r="I61" i="12811" s="1"/>
  <c r="I62" i="12811" a="1"/>
  <c r="I62" i="12811" s="1"/>
  <c r="I63" i="12811" a="1"/>
  <c r="I63" i="12811" s="1"/>
  <c r="I64" i="12811" a="1"/>
  <c r="I64" i="12811" s="1"/>
  <c r="I65" i="12811" a="1"/>
  <c r="I65" i="12811" s="1"/>
  <c r="I66" i="12811" a="1"/>
  <c r="I66" i="12811" s="1"/>
  <c r="I67" i="12811" a="1"/>
  <c r="I67" i="12811" s="1"/>
  <c r="I68" i="12811" a="1"/>
  <c r="I68" i="12811" s="1"/>
  <c r="I69" i="12811" a="1"/>
  <c r="I69" i="12811" s="1"/>
  <c r="I70" i="12811" a="1"/>
  <c r="I70" i="12811" s="1"/>
  <c r="I71" i="12811" a="1"/>
  <c r="I71" i="12811" s="1"/>
  <c r="I72" i="12811" a="1"/>
  <c r="I72" i="12811" s="1"/>
  <c r="I73" i="12811" a="1"/>
  <c r="I73" i="12811" s="1"/>
  <c r="I74" i="12811" a="1"/>
  <c r="I74" i="12811" s="1"/>
  <c r="I75" i="12811" a="1"/>
  <c r="I75" i="12811" s="1"/>
  <c r="I76" i="12811" a="1"/>
  <c r="I76" i="12811" s="1"/>
  <c r="I77" i="12811" a="1"/>
  <c r="I77" i="12811" s="1"/>
  <c r="I78" i="12811" a="1"/>
  <c r="I78" i="12811" s="1"/>
  <c r="I79" i="12811" a="1"/>
  <c r="I79" i="12811" s="1"/>
  <c r="I80" i="12811" a="1"/>
  <c r="I80" i="12811" s="1"/>
  <c r="I81" i="12811" a="1"/>
  <c r="I81" i="12811" s="1"/>
  <c r="I82" i="12811" a="1"/>
  <c r="I82" i="12811" s="1"/>
  <c r="I83" i="12811" a="1"/>
  <c r="I83" i="12811" s="1"/>
  <c r="I84" i="12811" a="1"/>
  <c r="I84" i="12811" s="1"/>
  <c r="I85" i="12811" a="1"/>
  <c r="I85" i="12811" s="1"/>
  <c r="I86" i="12811" a="1"/>
  <c r="I86" i="12811" s="1"/>
  <c r="I87" i="12811" a="1"/>
  <c r="I87" i="12811" s="1"/>
  <c r="I88" i="12811" a="1"/>
  <c r="I88" i="12811" s="1"/>
  <c r="I89" i="12811" a="1"/>
  <c r="I89" i="12811" s="1"/>
  <c r="I90" i="12811" a="1"/>
  <c r="I90" i="12811" s="1"/>
  <c r="I91" i="12811" a="1"/>
  <c r="I91" i="12811" s="1"/>
  <c r="I92" i="12811" a="1"/>
  <c r="I92" i="12811" s="1"/>
  <c r="I93" i="12811" a="1"/>
  <c r="I93" i="12811" s="1"/>
  <c r="I94" i="12811" a="1"/>
  <c r="I94" i="12811" s="1"/>
  <c r="I95" i="12811" a="1"/>
  <c r="I95" i="12811" s="1"/>
  <c r="I96" i="12811" a="1"/>
  <c r="I96" i="12811" s="1"/>
  <c r="I97" i="12811" a="1"/>
  <c r="I97" i="12811" s="1"/>
  <c r="I98" i="12811" a="1"/>
  <c r="I98" i="12811" s="1"/>
  <c r="I99" i="12811" a="1"/>
  <c r="I99" i="12811" s="1"/>
  <c r="I100" i="12811" a="1"/>
  <c r="I100" i="12811" s="1"/>
  <c r="I101" i="12811" a="1"/>
  <c r="I101" i="12811" s="1"/>
  <c r="I102" i="12811" a="1"/>
  <c r="I102" i="12811" s="1"/>
  <c r="I103" i="12811" a="1"/>
  <c r="I103" i="12811" s="1"/>
  <c r="I104" i="12811" a="1"/>
  <c r="I104" i="12811" s="1"/>
  <c r="I105" i="12811" a="1"/>
  <c r="I105" i="12811" s="1"/>
  <c r="I106" i="12811" a="1"/>
  <c r="I106" i="12811" s="1"/>
  <c r="I107" i="12811" a="1"/>
  <c r="I107" i="12811" s="1"/>
  <c r="I108" i="12811" a="1"/>
  <c r="I108" i="12811" s="1"/>
  <c r="I109" i="12811" a="1"/>
  <c r="I109" i="12811" s="1"/>
  <c r="I110" i="12811" a="1"/>
  <c r="I110" i="12811" s="1"/>
  <c r="I111" i="12811" a="1"/>
  <c r="I111" i="12811" s="1"/>
  <c r="I112" i="12811" a="1"/>
  <c r="I112" i="12811" s="1"/>
  <c r="I113" i="12811" a="1"/>
  <c r="I113" i="12811" s="1"/>
  <c r="I114" i="12811" a="1"/>
  <c r="I114" i="12811" s="1"/>
  <c r="I115" i="12811" a="1"/>
  <c r="I115" i="12811" s="1"/>
  <c r="I116" i="12811" a="1"/>
  <c r="I116" i="12811" s="1"/>
  <c r="I117" i="12811" a="1"/>
  <c r="I117" i="12811" s="1"/>
  <c r="I118" i="12811" a="1"/>
  <c r="I118" i="12811" s="1"/>
  <c r="I119" i="12811" a="1"/>
  <c r="I119" i="12811" s="1"/>
  <c r="I120" i="12811" a="1"/>
  <c r="I120" i="12811" s="1"/>
  <c r="I121" i="12811" a="1"/>
  <c r="I121" i="12811" s="1"/>
  <c r="I122" i="12811" a="1"/>
  <c r="I122" i="12811" s="1"/>
  <c r="I123" i="12811" a="1"/>
  <c r="I123" i="12811" s="1"/>
  <c r="I124" i="12811" a="1"/>
  <c r="I124" i="12811" s="1"/>
  <c r="I125" i="12811" a="1"/>
  <c r="I125" i="12811" s="1"/>
  <c r="I126" i="12811" a="1"/>
  <c r="I126" i="12811" s="1"/>
  <c r="I127" i="12811" a="1"/>
  <c r="I127" i="12811" s="1"/>
  <c r="I128" i="12811" a="1"/>
  <c r="I128" i="12811" s="1"/>
  <c r="I129" i="12811" a="1"/>
  <c r="I129" i="12811" s="1"/>
  <c r="I130" i="12811" a="1"/>
  <c r="I130" i="12811" s="1"/>
  <c r="I131" i="12811" a="1"/>
  <c r="I131" i="12811" s="1"/>
  <c r="I132" i="12811" a="1"/>
  <c r="I132" i="12811" s="1"/>
  <c r="I133" i="12811" a="1"/>
  <c r="I133" i="12811" s="1"/>
  <c r="I134" i="12811" a="1"/>
  <c r="I134" i="12811" s="1"/>
  <c r="I135" i="12811" a="1"/>
  <c r="I135" i="12811" s="1"/>
  <c r="I136" i="12811" a="1"/>
  <c r="I136" i="12811" s="1"/>
  <c r="I137" i="12811" a="1"/>
  <c r="I137" i="12811" s="1"/>
  <c r="I138" i="12811" a="1"/>
  <c r="I138" i="12811" s="1"/>
  <c r="I139" i="12811" a="1"/>
  <c r="I139" i="12811" s="1"/>
  <c r="I140" i="12811" a="1"/>
  <c r="I140" i="12811" s="1"/>
  <c r="I141" i="12811" a="1"/>
  <c r="I141" i="12811" s="1"/>
  <c r="I142" i="12811" a="1"/>
  <c r="I142" i="12811" s="1"/>
  <c r="I143" i="12811" a="1"/>
  <c r="I143" i="12811" s="1"/>
  <c r="I144" i="12811" a="1"/>
  <c r="I144" i="12811" s="1"/>
  <c r="I145" i="12811" a="1"/>
  <c r="I145" i="12811" s="1"/>
  <c r="I146" i="12811" a="1"/>
  <c r="I146" i="12811" s="1"/>
  <c r="I147" i="12811" a="1"/>
  <c r="I147" i="12811" s="1"/>
  <c r="I148" i="12811" a="1"/>
  <c r="I148" i="12811" s="1"/>
  <c r="I149" i="12811" a="1"/>
  <c r="I149" i="12811" s="1"/>
  <c r="I150" i="12811" a="1"/>
  <c r="I150" i="12811" s="1"/>
  <c r="I151" i="12811" a="1"/>
  <c r="I151" i="12811" s="1"/>
  <c r="I3" i="12811" a="1"/>
  <c r="I3" i="12811" s="1"/>
  <c r="I6" i="12817" l="1"/>
  <c r="I7" i="12817"/>
  <c r="I8" i="12817"/>
  <c r="Q12" i="12820" s="1"/>
  <c r="Q28" i="12820" s="1"/>
  <c r="I9" i="12817"/>
  <c r="Q13" i="12820" s="1"/>
  <c r="Q29" i="12820" s="1"/>
  <c r="I10" i="12817"/>
  <c r="Q18" i="12820" s="1"/>
  <c r="I11" i="12817"/>
  <c r="I12" i="12817"/>
  <c r="I13" i="12817"/>
  <c r="I14" i="12817"/>
  <c r="S9" i="12821" s="1"/>
  <c r="I15" i="12817"/>
  <c r="S10" i="12821" s="1"/>
  <c r="I16" i="12817"/>
  <c r="S11" i="12821" s="1"/>
  <c r="I17" i="12817"/>
  <c r="S18" i="12821" s="1"/>
  <c r="I18" i="12817"/>
  <c r="I19" i="12817"/>
  <c r="I20" i="12817"/>
  <c r="I21" i="12817"/>
  <c r="S20" i="12821" s="1"/>
  <c r="I22" i="12817"/>
  <c r="S21" i="12821" s="1"/>
  <c r="I23" i="12817"/>
  <c r="S22" i="12821" s="1"/>
  <c r="I24" i="12817"/>
  <c r="S23" i="12821" s="1"/>
  <c r="I25" i="12817"/>
  <c r="S24" i="12821" s="1"/>
  <c r="I26" i="12817"/>
  <c r="S25" i="12821" s="1"/>
  <c r="I27" i="12817"/>
  <c r="S32" i="12821" s="1"/>
  <c r="I28" i="12817"/>
  <c r="S33" i="12821" s="1"/>
  <c r="I29" i="12817"/>
  <c r="S34" i="12821" s="1"/>
  <c r="I30" i="12817"/>
  <c r="S35" i="12821" s="1"/>
  <c r="I31" i="12817"/>
  <c r="I32" i="12817"/>
  <c r="I33" i="12817"/>
  <c r="I34" i="12817"/>
  <c r="S37" i="12821" s="1"/>
  <c r="I35" i="12817"/>
  <c r="S38" i="12821" s="1"/>
  <c r="I36" i="12817"/>
  <c r="S39" i="12821" s="1"/>
  <c r="I37" i="12817"/>
  <c r="S40" i="12821" s="1"/>
  <c r="I38" i="12817"/>
  <c r="S41" i="12821" s="1"/>
  <c r="I39" i="12817"/>
  <c r="S48" i="12821" s="1"/>
  <c r="I40" i="12817"/>
  <c r="S49" i="12821" s="1"/>
  <c r="I41" i="12817"/>
  <c r="S50" i="12821" s="1"/>
  <c r="I42" i="12817"/>
  <c r="S51" i="12821" s="1"/>
  <c r="I43" i="12817"/>
  <c r="I44" i="12817"/>
  <c r="I45" i="12817"/>
  <c r="I46" i="12817"/>
  <c r="S9" i="12822" s="1"/>
  <c r="I47" i="12817"/>
  <c r="S10" i="12822" s="1"/>
  <c r="I48" i="12817"/>
  <c r="S11" i="12822" s="1"/>
  <c r="I49" i="12817"/>
  <c r="S12" i="12822" s="1"/>
  <c r="I50" i="12817"/>
  <c r="S13" i="12822" s="1"/>
  <c r="I51" i="12817"/>
  <c r="I52" i="12817"/>
  <c r="I53" i="12817"/>
  <c r="I54" i="12817"/>
  <c r="S17" i="12822" s="1"/>
  <c r="I55" i="12817"/>
  <c r="S18" i="12822" s="1"/>
  <c r="I56" i="12817"/>
  <c r="S19" i="12822" s="1"/>
  <c r="I57" i="12817"/>
  <c r="S20" i="12822" s="1"/>
  <c r="I58" i="12817"/>
  <c r="S21" i="12822" s="1"/>
  <c r="I59" i="12817"/>
  <c r="S24" i="12822" s="1"/>
  <c r="I60" i="12817"/>
  <c r="S25" i="12822" s="1"/>
  <c r="I61" i="12817"/>
  <c r="S26" i="12822" s="1"/>
  <c r="I62" i="12817"/>
  <c r="S27" i="12822" s="1"/>
  <c r="I63" i="12817"/>
  <c r="I64" i="12817"/>
  <c r="I65" i="12817"/>
  <c r="I66" i="12817"/>
  <c r="S29" i="12822" s="1"/>
  <c r="I67" i="12817"/>
  <c r="S30" i="12822" s="1"/>
  <c r="I68" i="12817"/>
  <c r="S31" i="12822" s="1"/>
  <c r="I69" i="12817"/>
  <c r="S32" i="12822" s="1"/>
  <c r="I70" i="12817"/>
  <c r="S33" i="12822" s="1"/>
  <c r="I71" i="12817"/>
  <c r="S36" i="12822" s="1"/>
  <c r="I72" i="12817"/>
  <c r="S37" i="12822" s="1"/>
  <c r="I73" i="12817"/>
  <c r="S38" i="12822" s="1"/>
  <c r="I74" i="12817"/>
  <c r="S39" i="12822" s="1"/>
  <c r="I75" i="12817"/>
  <c r="F11" i="12831" s="1"/>
  <c r="F21" i="12831" s="1"/>
  <c r="K63" i="12834" s="1"/>
  <c r="I76" i="12817"/>
  <c r="F12" i="12831" s="1"/>
  <c r="F22" i="12831" s="1"/>
  <c r="K64" i="12834" s="1"/>
  <c r="I77" i="12817"/>
  <c r="S5" i="12823" s="1"/>
  <c r="I78" i="12817"/>
  <c r="I79" i="12817"/>
  <c r="S7" i="12823" s="1"/>
  <c r="I80" i="12817"/>
  <c r="S8" i="12823" s="1"/>
  <c r="I81" i="12817"/>
  <c r="S9" i="12823" s="1"/>
  <c r="I82" i="12817"/>
  <c r="S10" i="12823" s="1"/>
  <c r="I83" i="12817"/>
  <c r="S13" i="12823" s="1"/>
  <c r="I84" i="12817"/>
  <c r="S11" i="12823" s="1"/>
  <c r="I85" i="12817"/>
  <c r="S12" i="12823" s="1"/>
  <c r="I86" i="12817"/>
  <c r="S15" i="12823" s="1"/>
  <c r="I87" i="12817"/>
  <c r="S16" i="12823" s="1"/>
  <c r="I88" i="12817"/>
  <c r="S17" i="12823" s="1"/>
  <c r="I89" i="12817"/>
  <c r="S18" i="12823" s="1"/>
  <c r="I90" i="12817"/>
  <c r="I91" i="12817"/>
  <c r="I92" i="12817"/>
  <c r="F6" i="12824" s="1"/>
  <c r="I93" i="12817"/>
  <c r="F7" i="12824" s="1"/>
  <c r="I94" i="12817"/>
  <c r="F8" i="12824" s="1"/>
  <c r="I95" i="12817"/>
  <c r="I96" i="12817"/>
  <c r="I97" i="12817"/>
  <c r="I98" i="12817"/>
  <c r="T9" i="12825" s="1"/>
  <c r="I99" i="12817"/>
  <c r="T10" i="12825" s="1"/>
  <c r="I100" i="12817"/>
  <c r="T13" i="12825" s="1"/>
  <c r="I101" i="12817"/>
  <c r="T14" i="12825" s="1"/>
  <c r="I102" i="12817"/>
  <c r="T15" i="12825" s="1"/>
  <c r="I103" i="12817"/>
  <c r="T16" i="12825" s="1"/>
  <c r="I104" i="12817"/>
  <c r="T17" i="12825" s="1"/>
  <c r="I105" i="12817"/>
  <c r="T18" i="12825" s="1"/>
  <c r="I106" i="12817"/>
  <c r="T21" i="12825" s="1"/>
  <c r="I107" i="12817"/>
  <c r="I108" i="12817"/>
  <c r="I109" i="12817"/>
  <c r="T23" i="12825" s="1"/>
  <c r="I110" i="12817"/>
  <c r="T24" i="12825" s="1"/>
  <c r="I111" i="12817"/>
  <c r="T25" i="12825" s="1"/>
  <c r="I112" i="12817"/>
  <c r="T26" i="12825" s="1"/>
  <c r="I113" i="12817"/>
  <c r="T29" i="12825" s="1"/>
  <c r="I114" i="12817"/>
  <c r="T30" i="12825" s="1"/>
  <c r="I115" i="12817"/>
  <c r="T31" i="12825" s="1"/>
  <c r="I116" i="12817"/>
  <c r="T32" i="12825" s="1"/>
  <c r="I117" i="12817"/>
  <c r="T35" i="12825" s="1"/>
  <c r="I118" i="12817"/>
  <c r="I119" i="12817"/>
  <c r="D56" i="12834" s="1" a="1"/>
  <c r="D56" i="12834" s="1"/>
  <c r="I120" i="12817"/>
  <c r="O6" i="12826" s="1"/>
  <c r="I121" i="12817"/>
  <c r="O7" i="12826" s="1"/>
  <c r="I122" i="12817"/>
  <c r="O10" i="12826" s="1"/>
  <c r="I123" i="12817"/>
  <c r="G7" i="12827" s="1"/>
  <c r="I124" i="12817"/>
  <c r="G8" i="12827" s="1"/>
  <c r="I125" i="12817"/>
  <c r="G9" i="12827" s="1"/>
  <c r="I126" i="12817"/>
  <c r="G10" i="12827" s="1"/>
  <c r="I127" i="12817"/>
  <c r="G11" i="12827" s="1"/>
  <c r="I128" i="12817"/>
  <c r="G12" i="12827" s="1"/>
  <c r="I129" i="12817"/>
  <c r="G13" i="12827" s="1"/>
  <c r="I130" i="12817"/>
  <c r="G14" i="12827" s="1"/>
  <c r="I131" i="12817"/>
  <c r="G15" i="12827" s="1"/>
  <c r="I132" i="12817"/>
  <c r="G16" i="12827" s="1"/>
  <c r="I133" i="12817"/>
  <c r="G17" i="12827" s="1"/>
  <c r="I134" i="12817"/>
  <c r="G18" i="12827" s="1"/>
  <c r="I135" i="12817"/>
  <c r="G19" i="12827" s="1"/>
  <c r="I136" i="12817"/>
  <c r="G20" i="12827" s="1"/>
  <c r="I137" i="12817"/>
  <c r="G21" i="12827" s="1"/>
  <c r="I138" i="12817"/>
  <c r="G22" i="12827" s="1"/>
  <c r="I139" i="12817"/>
  <c r="G23" i="12827" s="1"/>
  <c r="I140" i="12817"/>
  <c r="G24" i="12827" s="1"/>
  <c r="I141" i="12817"/>
  <c r="G25" i="12827" s="1"/>
  <c r="I142" i="12817"/>
  <c r="G26" i="12827" s="1"/>
  <c r="I143" i="12817"/>
  <c r="G27" i="12827" s="1"/>
  <c r="I144" i="12817"/>
  <c r="I145" i="12817"/>
  <c r="I146" i="12817"/>
  <c r="AA179" i="12825" l="1"/>
  <c r="AA176" i="12825"/>
  <c r="AA109" i="12825"/>
  <c r="AA175" i="12825"/>
  <c r="AA110" i="12825"/>
  <c r="AA113" i="12825"/>
  <c r="D62" i="12834" a="1"/>
  <c r="D62" i="12834" s="1"/>
  <c r="D66" i="12834" s="1"/>
  <c r="D44" i="12834" a="1"/>
  <c r="D44" i="12834" s="1"/>
  <c r="D36" i="12834" a="1"/>
  <c r="D36" i="12834" s="1"/>
  <c r="D35" i="12834" a="1"/>
  <c r="D35" i="12834" s="1"/>
  <c r="D54" i="12834" a="1"/>
  <c r="D54" i="12834" s="1"/>
  <c r="D53" i="12834" a="1"/>
  <c r="D53" i="12834" s="1"/>
  <c r="D12" i="12834"/>
  <c r="D43" i="12834" a="1"/>
  <c r="D43" i="12834" s="1"/>
  <c r="D34" i="12834" a="1"/>
  <c r="D34" i="12834" s="1"/>
  <c r="D8" i="12834" s="1"/>
  <c r="G64" i="12834"/>
  <c r="G63" i="12834"/>
  <c r="R76" i="12818"/>
  <c r="F64" i="12834"/>
  <c r="N64" i="12834" s="1"/>
  <c r="O64" i="12834" s="1"/>
  <c r="R75" i="12818"/>
  <c r="F63" i="12834"/>
  <c r="N63" i="12834" s="1"/>
  <c r="O63" i="12834" s="1"/>
  <c r="L143" i="12827"/>
  <c r="L92" i="12827"/>
  <c r="H69" i="12827"/>
  <c r="G69" i="12827" s="1"/>
  <c r="I120" i="12827"/>
  <c r="I171" i="12827"/>
  <c r="T35" i="12826"/>
  <c r="Q41" i="12826"/>
  <c r="T58" i="12826"/>
  <c r="Q64" i="12826"/>
  <c r="O18" i="12826"/>
  <c r="I157" i="12827"/>
  <c r="H55" i="12827"/>
  <c r="G55" i="12827" s="1"/>
  <c r="I106" i="12827"/>
  <c r="L144" i="12827"/>
  <c r="L93" i="12827"/>
  <c r="I121" i="12827"/>
  <c r="I172" i="12827"/>
  <c r="H70" i="12827"/>
  <c r="G70" i="12827" s="1"/>
  <c r="I163" i="12827"/>
  <c r="H61" i="12827"/>
  <c r="G61" i="12827" s="1"/>
  <c r="I112" i="12827"/>
  <c r="I102" i="12827"/>
  <c r="L134" i="12827"/>
  <c r="I153" i="12827"/>
  <c r="L83" i="12827"/>
  <c r="H51" i="12827"/>
  <c r="G51" i="12827" s="1"/>
  <c r="V207" i="12825"/>
  <c r="V141" i="12825"/>
  <c r="T76" i="12825"/>
  <c r="V184" i="12825"/>
  <c r="V118" i="12825"/>
  <c r="AA96" i="12825"/>
  <c r="AA162" i="12825"/>
  <c r="T54" i="12825"/>
  <c r="E58" i="12818" a="1"/>
  <c r="E58" i="12818" s="1"/>
  <c r="F5" i="12824"/>
  <c r="U82" i="12823"/>
  <c r="U123" i="12823"/>
  <c r="S41" i="12823"/>
  <c r="S79" i="12822"/>
  <c r="U206" i="12822"/>
  <c r="U143" i="12822"/>
  <c r="Z110" i="12822"/>
  <c r="S72" i="12822"/>
  <c r="Z173" i="12822"/>
  <c r="U136" i="12822"/>
  <c r="U199" i="12822"/>
  <c r="S92" i="12821"/>
  <c r="U245" i="12821"/>
  <c r="U168" i="12821"/>
  <c r="S85" i="12821"/>
  <c r="U237" i="12821"/>
  <c r="U160" i="12821"/>
  <c r="F8" i="12831"/>
  <c r="F18" i="12831" s="1"/>
  <c r="K48" i="12834" s="1"/>
  <c r="I162" i="12827"/>
  <c r="H60" i="12827"/>
  <c r="G60" i="12827" s="1"/>
  <c r="I111" i="12827"/>
  <c r="T39" i="12826"/>
  <c r="Q68" i="12826"/>
  <c r="T62" i="12826"/>
  <c r="Q45" i="12826"/>
  <c r="O22" i="12826"/>
  <c r="V205" i="12825"/>
  <c r="V139" i="12825"/>
  <c r="T75" i="12825"/>
  <c r="V129" i="12825"/>
  <c r="AA107" i="12825"/>
  <c r="AA173" i="12825"/>
  <c r="V195" i="12825"/>
  <c r="T65" i="12825"/>
  <c r="V116" i="12825"/>
  <c r="V182" i="12825"/>
  <c r="AA160" i="12825"/>
  <c r="AA94" i="12825"/>
  <c r="T53" i="12825"/>
  <c r="Z106" i="12823"/>
  <c r="U120" i="12823"/>
  <c r="Z65" i="12823"/>
  <c r="U79" i="12823"/>
  <c r="S38" i="12823"/>
  <c r="X65" i="12823" s="1"/>
  <c r="S88" i="12822"/>
  <c r="U151" i="12822"/>
  <c r="U214" i="12822"/>
  <c r="S78" i="12822"/>
  <c r="U205" i="12822"/>
  <c r="U142" i="12822"/>
  <c r="U134" i="12822"/>
  <c r="S69" i="12822"/>
  <c r="U197" i="12822"/>
  <c r="Z108" i="12822"/>
  <c r="Z171" i="12822"/>
  <c r="U185" i="12822"/>
  <c r="U122" i="12822"/>
  <c r="S60" i="12822"/>
  <c r="U179" i="12821"/>
  <c r="S102" i="12821"/>
  <c r="U256" i="12821"/>
  <c r="S91" i="12821"/>
  <c r="U244" i="12821"/>
  <c r="U167" i="12821"/>
  <c r="U232" i="12821"/>
  <c r="U155" i="12821"/>
  <c r="S81" i="12821"/>
  <c r="F7" i="12831"/>
  <c r="F17" i="12831" s="1"/>
  <c r="K47" i="12834" s="1"/>
  <c r="S52" i="12820"/>
  <c r="S76" i="12820"/>
  <c r="Q32" i="12820"/>
  <c r="G29" i="12827"/>
  <c r="V204" i="12825"/>
  <c r="V138" i="12825"/>
  <c r="T74" i="12825"/>
  <c r="V192" i="12825"/>
  <c r="AA170" i="12825"/>
  <c r="AA104" i="12825"/>
  <c r="V126" i="12825"/>
  <c r="T62" i="12825"/>
  <c r="E38" i="12818" a="1"/>
  <c r="E38" i="12818" s="1"/>
  <c r="T8" i="12825"/>
  <c r="Z114" i="12823"/>
  <c r="U128" i="12823"/>
  <c r="U87" i="12823"/>
  <c r="Z73" i="12823"/>
  <c r="S46" i="12823"/>
  <c r="Z105" i="12823"/>
  <c r="Z64" i="12823"/>
  <c r="U119" i="12823"/>
  <c r="U78" i="12823"/>
  <c r="S37" i="12823"/>
  <c r="X64" i="12823" s="1"/>
  <c r="U150" i="12822"/>
  <c r="U213" i="12822"/>
  <c r="S87" i="12822"/>
  <c r="E55" i="12818" a="1"/>
  <c r="E55" i="12818" s="1"/>
  <c r="S28" i="12822"/>
  <c r="U133" i="12822"/>
  <c r="U196" i="12822"/>
  <c r="S68" i="12822"/>
  <c r="U184" i="12822"/>
  <c r="S59" i="12822"/>
  <c r="Z107" i="12822"/>
  <c r="Z170" i="12822"/>
  <c r="U121" i="12822"/>
  <c r="S101" i="12821"/>
  <c r="U255" i="12821"/>
  <c r="U178" i="12821"/>
  <c r="E54" i="12818" a="1"/>
  <c r="E54" i="12818" s="1"/>
  <c r="S36" i="12821"/>
  <c r="U231" i="12821"/>
  <c r="S80" i="12821"/>
  <c r="U154" i="12821"/>
  <c r="U221" i="12821"/>
  <c r="Z206" i="12821"/>
  <c r="U144" i="12821"/>
  <c r="S73" i="12821"/>
  <c r="Z129" i="12821"/>
  <c r="V201" i="12825"/>
  <c r="V135" i="12825"/>
  <c r="T71" i="12825"/>
  <c r="V191" i="12825"/>
  <c r="AA169" i="12825"/>
  <c r="AA103" i="12825"/>
  <c r="V125" i="12825"/>
  <c r="T61" i="12825"/>
  <c r="Y103" i="12825" s="1"/>
  <c r="Z113" i="12823"/>
  <c r="U86" i="12823"/>
  <c r="U127" i="12823"/>
  <c r="Z72" i="12823"/>
  <c r="S45" i="12823"/>
  <c r="U118" i="12823"/>
  <c r="U77" i="12823"/>
  <c r="Z104" i="12823"/>
  <c r="Z63" i="12823"/>
  <c r="S36" i="12823"/>
  <c r="X63" i="12823" s="1"/>
  <c r="U149" i="12822"/>
  <c r="U212" i="12822"/>
  <c r="S86" i="12822"/>
  <c r="U132" i="12822"/>
  <c r="U195" i="12822"/>
  <c r="S67" i="12822"/>
  <c r="S58" i="12822"/>
  <c r="Z106" i="12822"/>
  <c r="U120" i="12822"/>
  <c r="Z169" i="12822"/>
  <c r="U183" i="12822"/>
  <c r="U177" i="12821"/>
  <c r="U254" i="12821"/>
  <c r="S100" i="12821"/>
  <c r="F10" i="12831"/>
  <c r="F20" i="12831" s="1"/>
  <c r="K58" i="12834" s="1"/>
  <c r="S79" i="12821"/>
  <c r="U230" i="12821"/>
  <c r="U153" i="12821"/>
  <c r="Z198" i="12821"/>
  <c r="U216" i="12821"/>
  <c r="S69" i="12821"/>
  <c r="Z121" i="12821"/>
  <c r="U139" i="12821"/>
  <c r="T36" i="12826"/>
  <c r="T59" i="12826"/>
  <c r="Q65" i="12826"/>
  <c r="Q42" i="12826"/>
  <c r="O19" i="12826"/>
  <c r="L148" i="12827"/>
  <c r="H74" i="12827"/>
  <c r="G74" i="12827" s="1"/>
  <c r="I125" i="12827"/>
  <c r="L97" i="12827"/>
  <c r="I176" i="12827"/>
  <c r="L140" i="12827"/>
  <c r="I117" i="12827"/>
  <c r="L89" i="12827"/>
  <c r="I168" i="12827"/>
  <c r="H66" i="12827"/>
  <c r="G66" i="12827" s="1"/>
  <c r="I158" i="12827"/>
  <c r="H56" i="12827"/>
  <c r="G56" i="12827" s="1"/>
  <c r="I107" i="12827"/>
  <c r="E57" i="12818" a="1"/>
  <c r="E57" i="12818" s="1"/>
  <c r="O5" i="12826"/>
  <c r="AA95" i="12825"/>
  <c r="V134" i="12825"/>
  <c r="AA161" i="12825"/>
  <c r="V200" i="12825"/>
  <c r="T70" i="12825"/>
  <c r="Y95" i="12825" s="1"/>
  <c r="V124" i="12825"/>
  <c r="AA102" i="12825"/>
  <c r="V190" i="12825"/>
  <c r="AA168" i="12825"/>
  <c r="T60" i="12825"/>
  <c r="Z112" i="12823"/>
  <c r="U126" i="12823"/>
  <c r="Z71" i="12823"/>
  <c r="U85" i="12823"/>
  <c r="S44" i="12823"/>
  <c r="U76" i="12823"/>
  <c r="U117" i="12823"/>
  <c r="S35" i="12823"/>
  <c r="U148" i="12822"/>
  <c r="U211" i="12822"/>
  <c r="S85" i="12822"/>
  <c r="U131" i="12822"/>
  <c r="U194" i="12822"/>
  <c r="S66" i="12822"/>
  <c r="U119" i="12822"/>
  <c r="U182" i="12822"/>
  <c r="S57" i="12822"/>
  <c r="Z105" i="12822"/>
  <c r="Z168" i="12822"/>
  <c r="S99" i="12821"/>
  <c r="U253" i="12821"/>
  <c r="U176" i="12821"/>
  <c r="F9" i="12831"/>
  <c r="F19" i="12831" s="1"/>
  <c r="K57" i="12834" s="1"/>
  <c r="S78" i="12821"/>
  <c r="U229" i="12821"/>
  <c r="U152" i="12821"/>
  <c r="U214" i="12821"/>
  <c r="U137" i="12821"/>
  <c r="Z197" i="12821"/>
  <c r="Z196" i="12821"/>
  <c r="S68" i="12821"/>
  <c r="Z119" i="12821"/>
  <c r="Z120" i="12821"/>
  <c r="Q9" i="12820"/>
  <c r="Q8" i="12820"/>
  <c r="L141" i="12827"/>
  <c r="H67" i="12827"/>
  <c r="G67" i="12827" s="1"/>
  <c r="L90" i="12827"/>
  <c r="I118" i="12827"/>
  <c r="I169" i="12827"/>
  <c r="L139" i="12827"/>
  <c r="L88" i="12827"/>
  <c r="I167" i="12827"/>
  <c r="H65" i="12827"/>
  <c r="G65" i="12827" s="1"/>
  <c r="I116" i="12827"/>
  <c r="V199" i="12825"/>
  <c r="V133" i="12825"/>
  <c r="T69" i="12825"/>
  <c r="V189" i="12825"/>
  <c r="AA167" i="12825"/>
  <c r="AA101" i="12825"/>
  <c r="V123" i="12825"/>
  <c r="T59" i="12825"/>
  <c r="Y101" i="12825" s="1"/>
  <c r="H34" i="12824"/>
  <c r="H48" i="12824"/>
  <c r="F20" i="12824"/>
  <c r="Z111" i="12823"/>
  <c r="U125" i="12823"/>
  <c r="Z70" i="12823"/>
  <c r="U84" i="12823"/>
  <c r="S43" i="12823"/>
  <c r="E74" i="12818" a="1"/>
  <c r="E74" i="12818" s="1"/>
  <c r="E78" i="12818" s="1"/>
  <c r="S6" i="12823"/>
  <c r="U209" i="12822"/>
  <c r="S82" i="12822"/>
  <c r="U146" i="12822"/>
  <c r="Z176" i="12822"/>
  <c r="U139" i="12822"/>
  <c r="U202" i="12822"/>
  <c r="Z113" i="12822"/>
  <c r="S75" i="12822"/>
  <c r="U193" i="12822"/>
  <c r="S65" i="12822"/>
  <c r="U130" i="12822"/>
  <c r="S56" i="12822"/>
  <c r="U118" i="12822"/>
  <c r="U181" i="12822"/>
  <c r="Z104" i="12822"/>
  <c r="Z167" i="12822"/>
  <c r="S95" i="12821"/>
  <c r="U171" i="12821"/>
  <c r="U248" i="12821"/>
  <c r="Z132" i="12821"/>
  <c r="U240" i="12821"/>
  <c r="Z209" i="12821"/>
  <c r="S88" i="12821"/>
  <c r="U113" i="12821" s="1"/>
  <c r="U163" i="12821"/>
  <c r="U151" i="12821"/>
  <c r="U228" i="12821"/>
  <c r="S77" i="12821"/>
  <c r="Z194" i="12821"/>
  <c r="Z118" i="12821"/>
  <c r="U212" i="12821"/>
  <c r="Z195" i="12821"/>
  <c r="U135" i="12821"/>
  <c r="Z117" i="12821"/>
  <c r="S67" i="12821"/>
  <c r="F6" i="12831"/>
  <c r="F16" i="12831" s="1"/>
  <c r="K38" i="12834" s="1"/>
  <c r="L142" i="12827"/>
  <c r="I119" i="12827"/>
  <c r="I170" i="12827"/>
  <c r="H68" i="12827"/>
  <c r="G68" i="12827" s="1"/>
  <c r="L91" i="12827"/>
  <c r="I159" i="12827"/>
  <c r="I108" i="12827"/>
  <c r="H57" i="12827"/>
  <c r="G57" i="12827" s="1"/>
  <c r="L146" i="12827"/>
  <c r="L95" i="12827"/>
  <c r="H72" i="12827"/>
  <c r="G72" i="12827" s="1"/>
  <c r="I174" i="12827"/>
  <c r="I123" i="12827"/>
  <c r="L136" i="12827"/>
  <c r="I104" i="12827"/>
  <c r="I155" i="12827"/>
  <c r="H53" i="12827"/>
  <c r="G53" i="12827" s="1"/>
  <c r="L85" i="12827"/>
  <c r="V212" i="12825"/>
  <c r="V146" i="12825"/>
  <c r="T80" i="12825"/>
  <c r="AA159" i="12825"/>
  <c r="V198" i="12825"/>
  <c r="AA93" i="12825"/>
  <c r="V132" i="12825"/>
  <c r="T68" i="12825"/>
  <c r="Y93" i="12825" s="1"/>
  <c r="V122" i="12825"/>
  <c r="AA166" i="12825"/>
  <c r="AA100" i="12825"/>
  <c r="V188" i="12825"/>
  <c r="T58" i="12825"/>
  <c r="H33" i="12824"/>
  <c r="H47" i="12824"/>
  <c r="F19" i="12824"/>
  <c r="Z108" i="12823"/>
  <c r="U81" i="12823"/>
  <c r="U122" i="12823"/>
  <c r="Z67" i="12823"/>
  <c r="S40" i="12823"/>
  <c r="X67" i="12823" s="1"/>
  <c r="Z109" i="12823"/>
  <c r="Z103" i="12823"/>
  <c r="U74" i="12823"/>
  <c r="Z101" i="12823"/>
  <c r="Z68" i="12823"/>
  <c r="Z62" i="12823"/>
  <c r="Z60" i="12823"/>
  <c r="U115" i="12823"/>
  <c r="S33" i="12823"/>
  <c r="S81" i="12822"/>
  <c r="U145" i="12822"/>
  <c r="U208" i="12822"/>
  <c r="Z175" i="12822"/>
  <c r="U138" i="12822"/>
  <c r="S74" i="12822"/>
  <c r="U201" i="12822"/>
  <c r="Z112" i="12822"/>
  <c r="E37" i="12818" a="1"/>
  <c r="E37" i="12818" s="1"/>
  <c r="S16" i="12822"/>
  <c r="E21" i="12818" a="1"/>
  <c r="E21" i="12818" s="1"/>
  <c r="S8" i="12822"/>
  <c r="U247" i="12821"/>
  <c r="S94" i="12821"/>
  <c r="U170" i="12821"/>
  <c r="Z208" i="12821"/>
  <c r="U162" i="12821"/>
  <c r="Z131" i="12821"/>
  <c r="S87" i="12821"/>
  <c r="U112" i="12821" s="1"/>
  <c r="U239" i="12821"/>
  <c r="S76" i="12821"/>
  <c r="U227" i="12821"/>
  <c r="U150" i="12821"/>
  <c r="E20" i="12818" a="1"/>
  <c r="E20" i="12818" s="1"/>
  <c r="S8" i="12821"/>
  <c r="I161" i="12827"/>
  <c r="H59" i="12827"/>
  <c r="G59" i="12827" s="1"/>
  <c r="I110" i="12827"/>
  <c r="L147" i="12827"/>
  <c r="H73" i="12827"/>
  <c r="G73" i="12827" s="1"/>
  <c r="I124" i="12827"/>
  <c r="L96" i="12827"/>
  <c r="I175" i="12827"/>
  <c r="L138" i="12827"/>
  <c r="I115" i="12827"/>
  <c r="L87" i="12827"/>
  <c r="I166" i="12827"/>
  <c r="H64" i="12827"/>
  <c r="G64" i="12827" s="1"/>
  <c r="L145" i="12827"/>
  <c r="I173" i="12827"/>
  <c r="H71" i="12827"/>
  <c r="G71" i="12827" s="1"/>
  <c r="I122" i="12827"/>
  <c r="L94" i="12827"/>
  <c r="L137" i="12827"/>
  <c r="L86" i="12827"/>
  <c r="I165" i="12827"/>
  <c r="H63" i="12827"/>
  <c r="G63" i="12827" s="1"/>
  <c r="I114" i="12827"/>
  <c r="I103" i="12827"/>
  <c r="L135" i="12827"/>
  <c r="I154" i="12827"/>
  <c r="H52" i="12827"/>
  <c r="G52" i="12827" s="1"/>
  <c r="L84" i="12827"/>
  <c r="V209" i="12825"/>
  <c r="V143" i="12825"/>
  <c r="T77" i="12825"/>
  <c r="E56" i="12818" a="1"/>
  <c r="E56" i="12818" s="1"/>
  <c r="T22" i="12825"/>
  <c r="AA165" i="12825"/>
  <c r="V187" i="12825"/>
  <c r="V121" i="12825"/>
  <c r="AA99" i="12825"/>
  <c r="T57" i="12825"/>
  <c r="H32" i="12824"/>
  <c r="H46" i="12824"/>
  <c r="F18" i="12824"/>
  <c r="Z107" i="12823"/>
  <c r="Z66" i="12823"/>
  <c r="U121" i="12823"/>
  <c r="U80" i="12823"/>
  <c r="S39" i="12823"/>
  <c r="U144" i="12822"/>
  <c r="U207" i="12822"/>
  <c r="S80" i="12822"/>
  <c r="U137" i="12822"/>
  <c r="Z174" i="12822"/>
  <c r="U200" i="12822"/>
  <c r="S73" i="12822"/>
  <c r="Z111" i="12822"/>
  <c r="S93" i="12821"/>
  <c r="U246" i="12821"/>
  <c r="U169" i="12821"/>
  <c r="U238" i="12821"/>
  <c r="Z207" i="12821"/>
  <c r="U161" i="12821"/>
  <c r="S86" i="12821"/>
  <c r="U111" i="12821" s="1"/>
  <c r="Z130" i="12821"/>
  <c r="E36" i="12818" a="1"/>
  <c r="E36" i="12818" s="1"/>
  <c r="S19" i="12821"/>
  <c r="E19" i="12818" a="1"/>
  <c r="E19" i="12818" s="1"/>
  <c r="I147" i="12817"/>
  <c r="G30" i="12827" s="1"/>
  <c r="I149" i="12817"/>
  <c r="I150" i="12817"/>
  <c r="I151" i="12817"/>
  <c r="I152" i="12817"/>
  <c r="I153" i="12817"/>
  <c r="I154" i="12817"/>
  <c r="I155" i="12817"/>
  <c r="I156" i="12817"/>
  <c r="I157" i="12817"/>
  <c r="I158" i="12817"/>
  <c r="I159" i="12817"/>
  <c r="I160" i="12817"/>
  <c r="I161" i="12817"/>
  <c r="I162" i="12817"/>
  <c r="I163" i="12817"/>
  <c r="I164" i="12817"/>
  <c r="I165" i="12817"/>
  <c r="I166" i="12817"/>
  <c r="I167" i="12817"/>
  <c r="I168" i="12817"/>
  <c r="I169" i="12817"/>
  <c r="I170" i="12817"/>
  <c r="I171" i="12817"/>
  <c r="I172" i="12817"/>
  <c r="I173" i="12817"/>
  <c r="I174" i="12817"/>
  <c r="I175" i="12817"/>
  <c r="I176" i="12817"/>
  <c r="I177" i="12817"/>
  <c r="I178" i="12817"/>
  <c r="I179" i="12817"/>
  <c r="I180" i="12817"/>
  <c r="I181" i="12817"/>
  <c r="I182" i="12817"/>
  <c r="I183" i="12817"/>
  <c r="I184" i="12817"/>
  <c r="I185" i="12817"/>
  <c r="I186" i="12817"/>
  <c r="I187" i="12817"/>
  <c r="I5" i="12817"/>
  <c r="F5" i="12831" s="1"/>
  <c r="F15" i="12831" s="1"/>
  <c r="K37" i="12834" s="1"/>
  <c r="U110" i="12821" l="1"/>
  <c r="V110" i="12821"/>
  <c r="H63" i="12834"/>
  <c r="I63" i="12834" s="1"/>
  <c r="J64" i="12834"/>
  <c r="L64" i="12834" s="1"/>
  <c r="M64" i="12834" s="1"/>
  <c r="H64" i="12834"/>
  <c r="I64" i="12834" s="1"/>
  <c r="AA174" i="12825"/>
  <c r="AA108" i="12825"/>
  <c r="Z90" i="12825"/>
  <c r="Y90" i="12825"/>
  <c r="V90" i="12825"/>
  <c r="D46" i="12834" a="1"/>
  <c r="D46" i="12834" s="1"/>
  <c r="D18" i="12834" s="1"/>
  <c r="D11" i="12834"/>
  <c r="D9" i="12834"/>
  <c r="D10" i="12834"/>
  <c r="D13" i="12834"/>
  <c r="G37" i="12834"/>
  <c r="G38" i="12834"/>
  <c r="F37" i="12834"/>
  <c r="N37" i="12834" s="1"/>
  <c r="O37" i="12834" s="1"/>
  <c r="J63" i="12834"/>
  <c r="L63" i="12834" s="1"/>
  <c r="M63" i="12834" s="1"/>
  <c r="G58" i="12834"/>
  <c r="G57" i="12834"/>
  <c r="R60" i="12818"/>
  <c r="F58" i="12834"/>
  <c r="N58" i="12834" s="1"/>
  <c r="O58" i="12834" s="1"/>
  <c r="R59" i="12818"/>
  <c r="F57" i="12834"/>
  <c r="N57" i="12834" s="1"/>
  <c r="O57" i="12834" s="1"/>
  <c r="G48" i="12834"/>
  <c r="G47" i="12834"/>
  <c r="K21" i="12834"/>
  <c r="R41" i="12818"/>
  <c r="F48" i="12834"/>
  <c r="N48" i="12834" s="1"/>
  <c r="O48" i="12834" s="1"/>
  <c r="R40" i="12818"/>
  <c r="F47" i="12834"/>
  <c r="N47" i="12834" s="1"/>
  <c r="O47" i="12834" s="1"/>
  <c r="F38" i="12834"/>
  <c r="N38" i="12834" s="1"/>
  <c r="O38" i="12834" s="1"/>
  <c r="R23" i="12818"/>
  <c r="R22" i="12818"/>
  <c r="Y102" i="12825"/>
  <c r="Y100" i="12825"/>
  <c r="X104" i="12822"/>
  <c r="D18" i="12830"/>
  <c r="X105" i="12822"/>
  <c r="U180" i="12822"/>
  <c r="U117" i="12822"/>
  <c r="S55" i="12822"/>
  <c r="Z166" i="12822"/>
  <c r="Z103" i="12822"/>
  <c r="V113" i="12821"/>
  <c r="U190" i="12821"/>
  <c r="V190" i="12821"/>
  <c r="T34" i="12826"/>
  <c r="Q40" i="12826"/>
  <c r="T57" i="12826"/>
  <c r="Q63" i="12826"/>
  <c r="O17" i="12826"/>
  <c r="U57" i="12823"/>
  <c r="V57" i="12823"/>
  <c r="V189" i="12821"/>
  <c r="V112" i="12821"/>
  <c r="U189" i="12821"/>
  <c r="U55" i="12823"/>
  <c r="V55" i="12823"/>
  <c r="U56" i="12823"/>
  <c r="V56" i="12823"/>
  <c r="V180" i="12825"/>
  <c r="AA158" i="12825"/>
  <c r="AA92" i="12825"/>
  <c r="V114" i="12825"/>
  <c r="T52" i="12825"/>
  <c r="X60" i="12823"/>
  <c r="X68" i="12823"/>
  <c r="X62" i="12823"/>
  <c r="V197" i="12825"/>
  <c r="V131" i="12825"/>
  <c r="T67" i="12825"/>
  <c r="S64" i="12822"/>
  <c r="U129" i="12822"/>
  <c r="U192" i="12822"/>
  <c r="S77" i="12822"/>
  <c r="U141" i="12822"/>
  <c r="U204" i="12822"/>
  <c r="X108" i="12822"/>
  <c r="Y108" i="12822"/>
  <c r="Y107" i="12825"/>
  <c r="R32" i="12826"/>
  <c r="Q32" i="12826"/>
  <c r="Z116" i="12821"/>
  <c r="U133" i="12821"/>
  <c r="Z115" i="12821"/>
  <c r="Z193" i="12821"/>
  <c r="Z192" i="12821"/>
  <c r="S66" i="12821"/>
  <c r="U210" i="12821"/>
  <c r="S72" i="12820"/>
  <c r="S48" i="12820"/>
  <c r="U35" i="12820"/>
  <c r="U59" i="12820"/>
  <c r="Q27" i="12820"/>
  <c r="C22" i="12820"/>
  <c r="Y104" i="12825"/>
  <c r="E39" i="12818" a="1"/>
  <c r="E39" i="12818" s="1"/>
  <c r="S49" i="12820"/>
  <c r="S73" i="12820"/>
  <c r="Y107" i="12822"/>
  <c r="X106" i="12822"/>
  <c r="Y106" i="12822"/>
  <c r="U58" i="12823"/>
  <c r="V58" i="12823"/>
  <c r="L150" i="12827"/>
  <c r="H78" i="12827"/>
  <c r="G78" i="12827" s="1"/>
  <c r="I129" i="12827"/>
  <c r="I180" i="12827"/>
  <c r="L99" i="12827"/>
  <c r="X110" i="12822"/>
  <c r="V98" i="12822"/>
  <c r="Y110" i="12822"/>
  <c r="V161" i="12822"/>
  <c r="U161" i="12822"/>
  <c r="U98" i="12822"/>
  <c r="H31" i="12824"/>
  <c r="H45" i="12824"/>
  <c r="F17" i="12824"/>
  <c r="D17" i="12830"/>
  <c r="Y66" i="12823"/>
  <c r="Y67" i="12823"/>
  <c r="Y60" i="12823"/>
  <c r="Y68" i="12823"/>
  <c r="X66" i="12823"/>
  <c r="Y62" i="12823"/>
  <c r="Z99" i="12825"/>
  <c r="Z107" i="12825"/>
  <c r="Y99" i="12825"/>
  <c r="W90" i="12825"/>
  <c r="X118" i="12821"/>
  <c r="X117" i="12821"/>
  <c r="U242" i="12821"/>
  <c r="U165" i="12821"/>
  <c r="S90" i="12821"/>
  <c r="X107" i="12822"/>
  <c r="Z94" i="12825"/>
  <c r="Z102" i="12825"/>
  <c r="Z95" i="12825"/>
  <c r="Z103" i="12825"/>
  <c r="Y94" i="12825"/>
  <c r="S75" i="12821"/>
  <c r="U226" i="12821"/>
  <c r="U149" i="12821"/>
  <c r="D19" i="12830"/>
  <c r="U188" i="12821"/>
  <c r="V111" i="12821"/>
  <c r="V188" i="12821"/>
  <c r="U162" i="12822"/>
  <c r="X111" i="12822"/>
  <c r="V99" i="12822"/>
  <c r="Y111" i="12822"/>
  <c r="V162" i="12822"/>
  <c r="U99" i="12822"/>
  <c r="V163" i="12822"/>
  <c r="X112" i="12822"/>
  <c r="U163" i="12822"/>
  <c r="Y112" i="12822"/>
  <c r="V100" i="12822"/>
  <c r="U100" i="12822"/>
  <c r="V187" i="12821"/>
  <c r="U187" i="12821"/>
  <c r="R76" i="12820"/>
  <c r="Q76" i="12820"/>
  <c r="Z96" i="12825"/>
  <c r="Z104" i="12825"/>
  <c r="Y96" i="12825"/>
  <c r="D16" i="12830"/>
  <c r="L151" i="12827"/>
  <c r="H79" i="12827"/>
  <c r="G79" i="12827" s="1"/>
  <c r="L100" i="12827"/>
  <c r="I130" i="12827"/>
  <c r="I181" i="12827"/>
  <c r="V164" i="12822"/>
  <c r="U164" i="12822"/>
  <c r="Y113" i="12822"/>
  <c r="X113" i="12822"/>
  <c r="V101" i="12822"/>
  <c r="U101" i="12822"/>
  <c r="Z102" i="12823"/>
  <c r="Z61" i="12823"/>
  <c r="U75" i="12823"/>
  <c r="U116" i="12823"/>
  <c r="S34" i="12823"/>
  <c r="R52" i="12820"/>
  <c r="Q52" i="12820"/>
  <c r="V28" i="12816"/>
  <c r="I272" i="12817"/>
  <c r="N19" i="12818" s="1"/>
  <c r="V66" i="12816"/>
  <c r="V53" i="12816"/>
  <c r="I274" i="12817"/>
  <c r="N37" i="12818" s="1"/>
  <c r="J58" i="12834" l="1"/>
  <c r="L58" i="12834" s="1"/>
  <c r="M58" i="12834" s="1"/>
  <c r="H58" i="12834"/>
  <c r="I58" i="12834" s="1"/>
  <c r="J47" i="12834"/>
  <c r="L47" i="12834" s="1"/>
  <c r="M47" i="12834" s="1"/>
  <c r="H47" i="12834"/>
  <c r="I47" i="12834" s="1"/>
  <c r="J57" i="12834"/>
  <c r="L57" i="12834" s="1"/>
  <c r="M57" i="12834" s="1"/>
  <c r="H57" i="12834"/>
  <c r="I57" i="12834" s="1"/>
  <c r="J48" i="12834"/>
  <c r="L48" i="12834" s="1"/>
  <c r="M48" i="12834" s="1"/>
  <c r="H48" i="12834"/>
  <c r="I48" i="12834" s="1"/>
  <c r="H38" i="12834"/>
  <c r="I38" i="12834" s="1"/>
  <c r="H37" i="12834"/>
  <c r="I37" i="12834" s="1"/>
  <c r="X90" i="12825"/>
  <c r="X113" i="12825" s="1"/>
  <c r="W113" i="12825" s="1"/>
  <c r="K22" i="12834"/>
  <c r="F22" i="12834"/>
  <c r="F21" i="12834"/>
  <c r="J38" i="12834"/>
  <c r="G22" i="12834"/>
  <c r="G21" i="12834"/>
  <c r="J37" i="12834"/>
  <c r="L37" i="12834" s="1"/>
  <c r="M37" i="12834" s="1"/>
  <c r="D7" i="12830"/>
  <c r="D6" i="12830"/>
  <c r="D4" i="12830"/>
  <c r="Z177" i="12822"/>
  <c r="S112" i="12821"/>
  <c r="W131" i="12821" s="1"/>
  <c r="V131" i="12821" s="1"/>
  <c r="S162" i="12822"/>
  <c r="W174" i="12822" s="1"/>
  <c r="Z114" i="12822"/>
  <c r="O32" i="12826"/>
  <c r="S39" i="12826" s="1"/>
  <c r="O39" i="12826" s="1"/>
  <c r="O45" i="12826" s="1"/>
  <c r="S56" i="12823"/>
  <c r="W71" i="12823" s="1"/>
  <c r="S71" i="12823" s="1"/>
  <c r="S85" i="12823" s="1"/>
  <c r="S57" i="12823"/>
  <c r="W72" i="12823" s="1"/>
  <c r="V72" i="12823" s="1"/>
  <c r="T86" i="12823" s="1"/>
  <c r="S187" i="12821"/>
  <c r="W206" i="12821" s="1"/>
  <c r="S206" i="12821" s="1"/>
  <c r="S58" i="12823"/>
  <c r="W73" i="12823" s="1"/>
  <c r="V73" i="12823" s="1"/>
  <c r="T87" i="12823" s="1"/>
  <c r="S163" i="12822"/>
  <c r="W175" i="12822" s="1"/>
  <c r="S190" i="12821"/>
  <c r="W209" i="12821" s="1"/>
  <c r="V209" i="12821" s="1"/>
  <c r="S110" i="12821"/>
  <c r="W129" i="12821" s="1"/>
  <c r="S129" i="12821" s="1"/>
  <c r="S113" i="12821"/>
  <c r="W132" i="12821" s="1"/>
  <c r="S132" i="12821" s="1"/>
  <c r="Y65" i="12823"/>
  <c r="Y64" i="12823"/>
  <c r="Y63" i="12823"/>
  <c r="X61" i="12823"/>
  <c r="Y61" i="12823"/>
  <c r="S111" i="12821"/>
  <c r="W130" i="12821" s="1"/>
  <c r="R48" i="12820"/>
  <c r="Q48" i="12820"/>
  <c r="Q72" i="12820"/>
  <c r="R72" i="12820"/>
  <c r="R73" i="12820"/>
  <c r="Q73" i="12820"/>
  <c r="Z100" i="12825"/>
  <c r="Z92" i="12825"/>
  <c r="Z93" i="12825"/>
  <c r="Y92" i="12825"/>
  <c r="Z101" i="12825"/>
  <c r="S55" i="12823"/>
  <c r="W70" i="12823" s="1"/>
  <c r="S164" i="12822"/>
  <c r="W176" i="12822" s="1"/>
  <c r="S188" i="12821"/>
  <c r="W207" i="12821" s="1"/>
  <c r="T90" i="12825"/>
  <c r="S161" i="12822"/>
  <c r="W173" i="12822" s="1"/>
  <c r="R49" i="12820"/>
  <c r="Q49" i="12820"/>
  <c r="Y115" i="12821" a="1"/>
  <c r="Y115" i="12821" s="1"/>
  <c r="X116" i="12821"/>
  <c r="X115" i="12821"/>
  <c r="Y116" i="12821" a="1"/>
  <c r="Y116" i="12821" s="1"/>
  <c r="Y118" i="12821" a="1"/>
  <c r="Y118" i="12821" s="1"/>
  <c r="Y117" i="12821" a="1"/>
  <c r="Y117" i="12821" s="1"/>
  <c r="D5" i="12830"/>
  <c r="S189" i="12821"/>
  <c r="W208" i="12821" s="1"/>
  <c r="Y105" i="12822"/>
  <c r="Y103" i="12822"/>
  <c r="Y104" i="12822"/>
  <c r="X103" i="12822"/>
  <c r="D22" i="12820"/>
  <c r="C122" i="12820"/>
  <c r="D122" i="12820" s="1"/>
  <c r="A30" i="12820"/>
  <c r="C97" i="12820"/>
  <c r="D97" i="12820" s="1"/>
  <c r="A55" i="12820"/>
  <c r="C47" i="12820"/>
  <c r="A155" i="12820"/>
  <c r="A105" i="12820"/>
  <c r="A80" i="12820"/>
  <c r="A130" i="12820"/>
  <c r="N25" i="12818"/>
  <c r="I228" i="12817"/>
  <c r="V206" i="12821" l="1"/>
  <c r="T253" i="12821" s="1"/>
  <c r="S221" i="12821"/>
  <c r="J22" i="12834"/>
  <c r="L38" i="12834"/>
  <c r="M38" i="12834" s="1"/>
  <c r="N22" i="12834"/>
  <c r="O22" i="12834" s="1"/>
  <c r="N21" i="12834"/>
  <c r="O21" i="12834" s="1"/>
  <c r="J21" i="12834"/>
  <c r="H22" i="12834"/>
  <c r="I22" i="12834" s="1"/>
  <c r="H21" i="12834"/>
  <c r="V129" i="12821"/>
  <c r="T144" i="12821" s="1"/>
  <c r="S73" i="12823"/>
  <c r="S87" i="12823" s="1"/>
  <c r="U99" i="12823" s="1"/>
  <c r="S209" i="12821"/>
  <c r="S256" i="12821" s="1"/>
  <c r="V132" i="12821"/>
  <c r="T163" i="12821" s="1"/>
  <c r="S131" i="12821"/>
  <c r="S178" i="12821" s="1"/>
  <c r="R39" i="12826"/>
  <c r="P45" i="12826" s="1"/>
  <c r="S72" i="12823"/>
  <c r="S86" i="12823" s="1"/>
  <c r="U98" i="12823" s="1"/>
  <c r="V71" i="12823"/>
  <c r="T85" i="12823" s="1"/>
  <c r="S208" i="12821"/>
  <c r="V208" i="12821"/>
  <c r="S144" i="12821"/>
  <c r="S160" i="12821"/>
  <c r="S176" i="12821"/>
  <c r="T178" i="12821"/>
  <c r="T162" i="12821"/>
  <c r="T146" i="12821"/>
  <c r="T224" i="12821"/>
  <c r="T240" i="12821"/>
  <c r="T256" i="12821"/>
  <c r="S70" i="12823"/>
  <c r="S84" i="12823" s="1"/>
  <c r="V70" i="12823"/>
  <c r="T84" i="12823" s="1"/>
  <c r="Q55" i="12826"/>
  <c r="R55" i="12826"/>
  <c r="U97" i="12823"/>
  <c r="V97" i="12823"/>
  <c r="D47" i="12820"/>
  <c r="C72" i="12820"/>
  <c r="D72" i="12820" s="1"/>
  <c r="C147" i="12820"/>
  <c r="D147" i="12820" s="1"/>
  <c r="X99" i="12825"/>
  <c r="T99" i="12825" s="1"/>
  <c r="X107" i="12825"/>
  <c r="T107" i="12825" s="1"/>
  <c r="S207" i="12821"/>
  <c r="V207" i="12821"/>
  <c r="S130" i="12821"/>
  <c r="V130" i="12821"/>
  <c r="S147" i="12821"/>
  <c r="S163" i="12821"/>
  <c r="S179" i="12821"/>
  <c r="I221" i="12817"/>
  <c r="T20" i="12825" s="1"/>
  <c r="V194" i="12825" s="1"/>
  <c r="I201" i="12817"/>
  <c r="I210" i="12817"/>
  <c r="I209" i="12817"/>
  <c r="I211" i="12817"/>
  <c r="I195" i="12817"/>
  <c r="I218" i="12817"/>
  <c r="I215" i="12817"/>
  <c r="I196" i="12817"/>
  <c r="I219" i="12817"/>
  <c r="T12" i="12825" s="1"/>
  <c r="I202" i="12817"/>
  <c r="I200" i="12817"/>
  <c r="I220" i="12817"/>
  <c r="T19" i="12825" s="1"/>
  <c r="I208" i="12817"/>
  <c r="I198" i="12817"/>
  <c r="I199" i="12817"/>
  <c r="I203" i="12817"/>
  <c r="I204" i="12817"/>
  <c r="I205" i="12817"/>
  <c r="I206" i="12817"/>
  <c r="I207" i="12817"/>
  <c r="S15" i="12822" s="1"/>
  <c r="I212" i="12817"/>
  <c r="I213" i="12817"/>
  <c r="S35" i="12822" s="1"/>
  <c r="S84" i="12822" s="1"/>
  <c r="I214" i="12817"/>
  <c r="I216" i="12817"/>
  <c r="I217" i="12817"/>
  <c r="F10" i="12824" s="1"/>
  <c r="H50" i="12824" s="1"/>
  <c r="I222" i="12817"/>
  <c r="I223" i="12817"/>
  <c r="T28" i="12825" s="1"/>
  <c r="V203" i="12825" s="1"/>
  <c r="I224" i="12817"/>
  <c r="T33" i="12825" s="1"/>
  <c r="V210" i="12825" s="1"/>
  <c r="I225" i="12817"/>
  <c r="T34" i="12825" s="1"/>
  <c r="V211" i="12825" s="1"/>
  <c r="I227" i="12817"/>
  <c r="O9" i="12826" s="1"/>
  <c r="Q67" i="12826" s="1"/>
  <c r="I229" i="12817"/>
  <c r="I230" i="12817"/>
  <c r="I231" i="12817"/>
  <c r="I232" i="12817"/>
  <c r="I233" i="12817"/>
  <c r="T237" i="12821" l="1"/>
  <c r="T221" i="12821"/>
  <c r="S62" i="12822"/>
  <c r="V186" i="12825"/>
  <c r="I21" i="12834"/>
  <c r="L22" i="12834"/>
  <c r="L21" i="12834"/>
  <c r="G28" i="12827"/>
  <c r="L149" i="12827" s="1"/>
  <c r="T27" i="12825"/>
  <c r="V202" i="12825" s="1"/>
  <c r="F9" i="12824"/>
  <c r="H49" i="12824" s="1"/>
  <c r="T11" i="12825"/>
  <c r="G31" i="12827"/>
  <c r="L152" i="12827" s="1"/>
  <c r="S14" i="12822"/>
  <c r="T176" i="12821"/>
  <c r="T160" i="12821"/>
  <c r="V99" i="12823"/>
  <c r="S99" i="12823" s="1"/>
  <c r="W114" i="12823" s="1"/>
  <c r="S146" i="12821"/>
  <c r="S162" i="12821"/>
  <c r="V98" i="12823"/>
  <c r="S98" i="12823" s="1"/>
  <c r="W113" i="12823" s="1"/>
  <c r="S113" i="12823" s="1"/>
  <c r="S127" i="12823" s="1"/>
  <c r="S240" i="12821"/>
  <c r="S253" i="12821"/>
  <c r="S237" i="12821"/>
  <c r="S224" i="12821"/>
  <c r="T179" i="12821"/>
  <c r="T147" i="12821"/>
  <c r="S34" i="12822"/>
  <c r="U210" i="12822" s="1"/>
  <c r="I254" i="12817"/>
  <c r="N254" i="12817" s="1"/>
  <c r="S22" i="12822"/>
  <c r="S70" i="12822" s="1"/>
  <c r="T254" i="12821"/>
  <c r="T238" i="12821"/>
  <c r="T222" i="12821"/>
  <c r="S222" i="12821"/>
  <c r="S238" i="12821"/>
  <c r="S254" i="12821"/>
  <c r="U96" i="12823"/>
  <c r="V96" i="12823"/>
  <c r="W107" i="12825"/>
  <c r="S97" i="12823"/>
  <c r="W112" i="12823" s="1"/>
  <c r="T161" i="12821"/>
  <c r="T145" i="12821"/>
  <c r="T177" i="12821"/>
  <c r="W99" i="12825"/>
  <c r="S145" i="12821"/>
  <c r="S161" i="12821"/>
  <c r="S177" i="12821"/>
  <c r="O55" i="12826"/>
  <c r="S62" i="12826" s="1"/>
  <c r="T255" i="12821"/>
  <c r="T239" i="12821"/>
  <c r="T223" i="12821"/>
  <c r="S223" i="12821"/>
  <c r="S255" i="12821"/>
  <c r="S239" i="12821"/>
  <c r="AA172" i="12825"/>
  <c r="AA171" i="12825"/>
  <c r="V193" i="12825"/>
  <c r="V127" i="12825"/>
  <c r="V120" i="12825"/>
  <c r="V128" i="12825"/>
  <c r="F22" i="12824"/>
  <c r="H36" i="12824"/>
  <c r="O21" i="12826"/>
  <c r="Q44" i="12826"/>
  <c r="T79" i="12825"/>
  <c r="V145" i="12825"/>
  <c r="T78" i="12825"/>
  <c r="V144" i="12825"/>
  <c r="T73" i="12825"/>
  <c r="V137" i="12825"/>
  <c r="AB106" i="12825"/>
  <c r="AA105" i="12825"/>
  <c r="AA106" i="12825"/>
  <c r="AB105" i="12825"/>
  <c r="T63" i="12825"/>
  <c r="T56" i="12825"/>
  <c r="T64" i="12825"/>
  <c r="I252" i="12817"/>
  <c r="O252" i="12817" s="1"/>
  <c r="S23" i="12822"/>
  <c r="S71" i="12822" s="1"/>
  <c r="I244" i="12817"/>
  <c r="S244" i="12817" s="1"/>
  <c r="S268" i="12817" s="1"/>
  <c r="S14" i="12823"/>
  <c r="Z110" i="12823" s="1"/>
  <c r="I255" i="12817"/>
  <c r="S255" i="12817" s="1"/>
  <c r="I246" i="12817"/>
  <c r="I247" i="12817"/>
  <c r="I240" i="12817"/>
  <c r="I256" i="12817"/>
  <c r="I39" i="12818" s="1"/>
  <c r="I237" i="12817"/>
  <c r="I36" i="12818" s="1"/>
  <c r="I241" i="12817"/>
  <c r="I226" i="12817"/>
  <c r="I197" i="12817"/>
  <c r="I275" i="12817"/>
  <c r="N38" i="12818" s="1"/>
  <c r="I276" i="12817"/>
  <c r="N74" i="12818" s="1"/>
  <c r="I273" i="12817"/>
  <c r="N36" i="12818" s="1"/>
  <c r="J4" i="12811"/>
  <c r="H4" i="12811" s="1"/>
  <c r="J5" i="12811"/>
  <c r="H5" i="12811" s="1"/>
  <c r="J6" i="12811"/>
  <c r="H6" i="12811" s="1"/>
  <c r="J7" i="12811"/>
  <c r="H7" i="12811" s="1"/>
  <c r="J8" i="12811"/>
  <c r="H8" i="12811" s="1"/>
  <c r="J9" i="12811"/>
  <c r="H9" i="12811" s="1"/>
  <c r="J10" i="12811"/>
  <c r="H10" i="12811" s="1"/>
  <c r="J11" i="12811"/>
  <c r="H11" i="12811" s="1"/>
  <c r="J12" i="12811"/>
  <c r="H12" i="12811" s="1"/>
  <c r="J13" i="12811"/>
  <c r="H13" i="12811" s="1"/>
  <c r="J14" i="12811"/>
  <c r="H14" i="12811" s="1"/>
  <c r="J15" i="12811"/>
  <c r="H15" i="12811" s="1"/>
  <c r="J16" i="12811"/>
  <c r="H16" i="12811" s="1"/>
  <c r="J17" i="12811"/>
  <c r="H17" i="12811" s="1"/>
  <c r="J18" i="12811"/>
  <c r="H18" i="12811" s="1"/>
  <c r="J19" i="12811"/>
  <c r="H19" i="12811" s="1"/>
  <c r="J20" i="12811"/>
  <c r="H20" i="12811" s="1"/>
  <c r="J21" i="12811"/>
  <c r="H21" i="12811" s="1"/>
  <c r="J22" i="12811"/>
  <c r="H22" i="12811" s="1"/>
  <c r="J23" i="12811"/>
  <c r="H23" i="12811" s="1"/>
  <c r="J24" i="12811"/>
  <c r="H24" i="12811" s="1"/>
  <c r="J25" i="12811"/>
  <c r="H25" i="12811" s="1"/>
  <c r="J26" i="12811"/>
  <c r="H26" i="12811" s="1"/>
  <c r="J27" i="12811"/>
  <c r="H27" i="12811" s="1"/>
  <c r="J28" i="12811"/>
  <c r="H28" i="12811" s="1"/>
  <c r="J29" i="12811"/>
  <c r="H29" i="12811" s="1"/>
  <c r="J30" i="12811"/>
  <c r="H30" i="12811" s="1"/>
  <c r="J31" i="12811"/>
  <c r="H31" i="12811" s="1"/>
  <c r="J32" i="12811"/>
  <c r="H32" i="12811" s="1"/>
  <c r="J33" i="12811"/>
  <c r="H33" i="12811" s="1"/>
  <c r="J34" i="12811"/>
  <c r="H34" i="12811" s="1"/>
  <c r="J35" i="12811"/>
  <c r="H35" i="12811" s="1"/>
  <c r="J36" i="12811"/>
  <c r="H36" i="12811" s="1"/>
  <c r="J37" i="12811"/>
  <c r="H37" i="12811" s="1"/>
  <c r="J38" i="12811"/>
  <c r="H38" i="12811" s="1"/>
  <c r="J39" i="12811"/>
  <c r="H39" i="12811" s="1"/>
  <c r="J40" i="12811"/>
  <c r="H40" i="12811" s="1"/>
  <c r="J41" i="12811"/>
  <c r="H41" i="12811" s="1"/>
  <c r="J42" i="12811"/>
  <c r="H42" i="12811" s="1"/>
  <c r="J43" i="12811"/>
  <c r="H43" i="12811" s="1"/>
  <c r="J44" i="12811"/>
  <c r="H44" i="12811" s="1"/>
  <c r="J45" i="12811"/>
  <c r="H45" i="12811" s="1"/>
  <c r="J46" i="12811"/>
  <c r="H46" i="12811" s="1"/>
  <c r="J47" i="12811"/>
  <c r="H47" i="12811" s="1"/>
  <c r="J48" i="12811"/>
  <c r="H48" i="12811" s="1"/>
  <c r="J49" i="12811"/>
  <c r="J50" i="12811"/>
  <c r="H50" i="12811" s="1"/>
  <c r="J51" i="12811"/>
  <c r="H51" i="12811" s="1"/>
  <c r="J52" i="12811"/>
  <c r="H52" i="12811" s="1"/>
  <c r="J53" i="12811"/>
  <c r="H53" i="12811" s="1"/>
  <c r="J54" i="12811"/>
  <c r="H54" i="12811" s="1"/>
  <c r="J55" i="12811"/>
  <c r="H55" i="12811" s="1"/>
  <c r="J56" i="12811"/>
  <c r="H56" i="12811" s="1"/>
  <c r="J57" i="12811"/>
  <c r="H57" i="12811" s="1"/>
  <c r="J58" i="12811"/>
  <c r="H58" i="12811" s="1"/>
  <c r="J59" i="12811"/>
  <c r="H59" i="12811" s="1"/>
  <c r="J60" i="12811"/>
  <c r="H60" i="12811" s="1"/>
  <c r="J61" i="12811"/>
  <c r="H61" i="12811" s="1"/>
  <c r="J62" i="12811"/>
  <c r="H62" i="12811" s="1"/>
  <c r="J63" i="12811"/>
  <c r="H63" i="12811" s="1"/>
  <c r="J64" i="12811"/>
  <c r="H64" i="12811" s="1"/>
  <c r="J65" i="12811"/>
  <c r="H65" i="12811" s="1"/>
  <c r="J66" i="12811"/>
  <c r="H66" i="12811" s="1"/>
  <c r="J67" i="12811"/>
  <c r="H67" i="12811" s="1"/>
  <c r="J68" i="12811"/>
  <c r="H68" i="12811" s="1"/>
  <c r="J69" i="12811"/>
  <c r="H69" i="12811" s="1"/>
  <c r="J70" i="12811"/>
  <c r="H70" i="12811" s="1"/>
  <c r="J71" i="12811"/>
  <c r="H71" i="12811" s="1"/>
  <c r="J72" i="12811"/>
  <c r="H72" i="12811" s="1"/>
  <c r="J73" i="12811"/>
  <c r="H73" i="12811" s="1"/>
  <c r="J74" i="12811"/>
  <c r="H74" i="12811" s="1"/>
  <c r="J75" i="12811"/>
  <c r="H75" i="12811" s="1"/>
  <c r="J76" i="12811"/>
  <c r="H76" i="12811" s="1"/>
  <c r="J77" i="12811"/>
  <c r="H77" i="12811" s="1"/>
  <c r="J78" i="12811"/>
  <c r="H78" i="12811" s="1"/>
  <c r="J79" i="12811"/>
  <c r="H79" i="12811" s="1"/>
  <c r="J80" i="12811"/>
  <c r="H80" i="12811" s="1"/>
  <c r="J81" i="12811"/>
  <c r="J82" i="12811"/>
  <c r="H82" i="12811" s="1"/>
  <c r="J83" i="12811"/>
  <c r="H83" i="12811" s="1"/>
  <c r="J84" i="12811"/>
  <c r="H84" i="12811" s="1"/>
  <c r="J85" i="12811"/>
  <c r="H85" i="12811" s="1"/>
  <c r="J86" i="12811"/>
  <c r="H86" i="12811" s="1"/>
  <c r="J87" i="12811"/>
  <c r="H87" i="12811" s="1"/>
  <c r="J88" i="12811"/>
  <c r="H88" i="12811" s="1"/>
  <c r="J89" i="12811"/>
  <c r="H89" i="12811" s="1"/>
  <c r="J90" i="12811"/>
  <c r="H90" i="12811" s="1"/>
  <c r="J91" i="12811"/>
  <c r="H91" i="12811" s="1"/>
  <c r="J92" i="12811"/>
  <c r="H92" i="12811" s="1"/>
  <c r="J93" i="12811"/>
  <c r="H93" i="12811" s="1"/>
  <c r="J94" i="12811"/>
  <c r="H94" i="12811" s="1"/>
  <c r="J95" i="12811"/>
  <c r="H95" i="12811" s="1"/>
  <c r="J96" i="12811"/>
  <c r="H96" i="12811" s="1"/>
  <c r="J97" i="12811"/>
  <c r="H97" i="12811" s="1"/>
  <c r="J98" i="12811"/>
  <c r="H98" i="12811" s="1"/>
  <c r="J99" i="12811"/>
  <c r="H99" i="12811" s="1"/>
  <c r="J100" i="12811"/>
  <c r="H100" i="12811" s="1"/>
  <c r="J101" i="12811"/>
  <c r="H101" i="12811" s="1"/>
  <c r="J102" i="12811"/>
  <c r="H102" i="12811" s="1"/>
  <c r="J103" i="12811"/>
  <c r="H103" i="12811" s="1"/>
  <c r="J104" i="12811"/>
  <c r="H104" i="12811" s="1"/>
  <c r="J105" i="12811"/>
  <c r="H105" i="12811" s="1"/>
  <c r="J106" i="12811"/>
  <c r="H106" i="12811" s="1"/>
  <c r="J107" i="12811"/>
  <c r="J108" i="12811"/>
  <c r="H108" i="12811" s="1"/>
  <c r="J109" i="12811"/>
  <c r="H109" i="12811" s="1"/>
  <c r="J110" i="12811"/>
  <c r="H110" i="12811" s="1"/>
  <c r="J111" i="12811"/>
  <c r="H111" i="12811" s="1"/>
  <c r="J112" i="12811"/>
  <c r="H112" i="12811" s="1"/>
  <c r="J113" i="12811"/>
  <c r="H113" i="12811" s="1"/>
  <c r="J114" i="12811"/>
  <c r="H114" i="12811" s="1"/>
  <c r="J115" i="12811"/>
  <c r="H115" i="12811" s="1"/>
  <c r="J116" i="12811"/>
  <c r="J117" i="12811"/>
  <c r="H117" i="12811" s="1"/>
  <c r="J118" i="12811"/>
  <c r="H118" i="12811" s="1"/>
  <c r="J119" i="12811"/>
  <c r="H119" i="12811" s="1"/>
  <c r="J120" i="12811"/>
  <c r="H120" i="12811" s="1"/>
  <c r="J121" i="12811"/>
  <c r="H121" i="12811" s="1"/>
  <c r="J122" i="12811"/>
  <c r="H122" i="12811" s="1"/>
  <c r="J123" i="12811"/>
  <c r="H123" i="12811" s="1"/>
  <c r="J124" i="12811"/>
  <c r="H124" i="12811" s="1"/>
  <c r="J125" i="12811"/>
  <c r="H125" i="12811" s="1"/>
  <c r="J126" i="12811"/>
  <c r="H126" i="12811" s="1"/>
  <c r="J127" i="12811"/>
  <c r="H127" i="12811" s="1"/>
  <c r="J128" i="12811"/>
  <c r="H128" i="12811" s="1"/>
  <c r="J129" i="12811"/>
  <c r="H129" i="12811" s="1"/>
  <c r="J130" i="12811"/>
  <c r="H130" i="12811" s="1"/>
  <c r="J131" i="12811"/>
  <c r="H131" i="12811" s="1"/>
  <c r="J132" i="12811"/>
  <c r="H132" i="12811" s="1"/>
  <c r="J133" i="12811"/>
  <c r="H133" i="12811" s="1"/>
  <c r="J134" i="12811"/>
  <c r="H134" i="12811" s="1"/>
  <c r="J135" i="12811"/>
  <c r="H135" i="12811" s="1"/>
  <c r="J136" i="12811"/>
  <c r="H136" i="12811" s="1"/>
  <c r="J137" i="12811"/>
  <c r="H137" i="12811" s="1"/>
  <c r="J138" i="12811"/>
  <c r="H138" i="12811" s="1"/>
  <c r="J139" i="12811"/>
  <c r="H139" i="12811" s="1"/>
  <c r="J140" i="12811"/>
  <c r="H140" i="12811" s="1"/>
  <c r="J141" i="12811"/>
  <c r="H141" i="12811" s="1"/>
  <c r="J142" i="12811"/>
  <c r="H142" i="12811" s="1"/>
  <c r="J143" i="12811"/>
  <c r="H143" i="12811" s="1"/>
  <c r="J144" i="12811"/>
  <c r="H144" i="12811" s="1"/>
  <c r="J145" i="12811"/>
  <c r="H145" i="12811" s="1"/>
  <c r="J146" i="12811"/>
  <c r="H146" i="12811" s="1"/>
  <c r="J147" i="12811"/>
  <c r="H147" i="12811" s="1"/>
  <c r="J148" i="12811"/>
  <c r="H148" i="12811" s="1"/>
  <c r="J149" i="12811"/>
  <c r="H149" i="12811" s="1"/>
  <c r="J150" i="12811"/>
  <c r="H150" i="12811" s="1"/>
  <c r="J151" i="12811"/>
  <c r="H151" i="12811" s="1"/>
  <c r="S61" i="12822" l="1"/>
  <c r="AB112" i="12825"/>
  <c r="AE150" i="12825"/>
  <c r="AD150" i="12825"/>
  <c r="AE149" i="12825"/>
  <c r="AA178" i="12825"/>
  <c r="AA177" i="12825"/>
  <c r="AD148" i="12825"/>
  <c r="AB178" i="12825"/>
  <c r="AD149" i="12825"/>
  <c r="AA111" i="12825"/>
  <c r="AD151" i="12825"/>
  <c r="AE148" i="12825"/>
  <c r="AE151" i="12825"/>
  <c r="AB177" i="12825"/>
  <c r="AB111" i="12825"/>
  <c r="AD83" i="12825"/>
  <c r="AE84" i="12825"/>
  <c r="AE85" i="12825"/>
  <c r="AE83" i="12825"/>
  <c r="AD84" i="12825"/>
  <c r="AD85" i="12825"/>
  <c r="AE82" i="12825"/>
  <c r="AD82" i="12825"/>
  <c r="AA112" i="12825"/>
  <c r="V185" i="12825"/>
  <c r="M22" i="12834"/>
  <c r="M21" i="12834"/>
  <c r="D69" i="12834" a="1"/>
  <c r="D69" i="12834" s="1"/>
  <c r="D17" i="12834" s="1"/>
  <c r="E69" i="12834"/>
  <c r="E17" i="12834" s="1"/>
  <c r="D68" i="12834" a="1"/>
  <c r="D68" i="12834" s="1"/>
  <c r="E68" i="12834"/>
  <c r="E62" i="12834"/>
  <c r="D52" i="12834" a="1"/>
  <c r="D52" i="12834" s="1"/>
  <c r="D60" i="12834" s="1"/>
  <c r="E44" i="12834"/>
  <c r="E42" i="12834"/>
  <c r="E43" i="12834"/>
  <c r="E46" i="12834"/>
  <c r="E18" i="12834" s="1"/>
  <c r="G39" i="12834"/>
  <c r="G70" i="12834"/>
  <c r="F70" i="12834"/>
  <c r="N70" i="12834" s="1"/>
  <c r="O70" i="12834" s="1"/>
  <c r="G65" i="12834"/>
  <c r="F65" i="12834"/>
  <c r="N65" i="12834" s="1"/>
  <c r="O65" i="12834" s="1"/>
  <c r="G59" i="12834"/>
  <c r="F59" i="12834"/>
  <c r="N59" i="12834" s="1"/>
  <c r="O59" i="12834" s="1"/>
  <c r="F39" i="12834"/>
  <c r="N39" i="12834" s="1"/>
  <c r="O39" i="12834" s="1"/>
  <c r="I178" i="12827"/>
  <c r="H76" i="12827"/>
  <c r="G76" i="12827" s="1"/>
  <c r="I127" i="12827"/>
  <c r="V136" i="12825"/>
  <c r="H80" i="12827"/>
  <c r="G80" i="12827" s="1"/>
  <c r="H35" i="12824"/>
  <c r="T72" i="12825"/>
  <c r="L98" i="12827"/>
  <c r="F21" i="12824"/>
  <c r="T55" i="12825"/>
  <c r="L101" i="12827"/>
  <c r="AB98" i="12825"/>
  <c r="I182" i="12827"/>
  <c r="AA97" i="12825"/>
  <c r="AA98" i="12825"/>
  <c r="U186" i="12822"/>
  <c r="AB97" i="12825"/>
  <c r="I131" i="12827"/>
  <c r="AA163" i="12825"/>
  <c r="AA164" i="12825"/>
  <c r="V119" i="12825"/>
  <c r="U123" i="12822"/>
  <c r="I236" i="12817"/>
  <c r="E35" i="12834" s="1"/>
  <c r="D33" i="12834" a="1"/>
  <c r="D33" i="12834" s="1"/>
  <c r="D40" i="12834" s="1"/>
  <c r="S114" i="12823"/>
  <c r="S128" i="12823" s="1"/>
  <c r="V114" i="12823"/>
  <c r="T128" i="12823" s="1"/>
  <c r="S252" i="12817"/>
  <c r="U252" i="12817"/>
  <c r="T254" i="12817"/>
  <c r="J252" i="12817"/>
  <c r="P252" i="12817"/>
  <c r="M252" i="12817"/>
  <c r="R252" i="12817"/>
  <c r="O254" i="12817"/>
  <c r="V113" i="12823"/>
  <c r="T127" i="12823" s="1"/>
  <c r="M254" i="12817"/>
  <c r="P254" i="12817"/>
  <c r="K254" i="12817"/>
  <c r="Q254" i="12817"/>
  <c r="S254" i="12817"/>
  <c r="R254" i="12817"/>
  <c r="L254" i="12817"/>
  <c r="J254" i="12817"/>
  <c r="U254" i="12817"/>
  <c r="N252" i="12817"/>
  <c r="U147" i="12822"/>
  <c r="S83" i="12822"/>
  <c r="L252" i="12817"/>
  <c r="T252" i="12817"/>
  <c r="D9" i="12830"/>
  <c r="R62" i="12826"/>
  <c r="P68" i="12826" s="1"/>
  <c r="O62" i="12826"/>
  <c r="O68" i="12826" s="1"/>
  <c r="S112" i="12823"/>
  <c r="S126" i="12823" s="1"/>
  <c r="V112" i="12823"/>
  <c r="T126" i="12823" s="1"/>
  <c r="U146" i="12825"/>
  <c r="U129" i="12825"/>
  <c r="T146" i="12825"/>
  <c r="T129" i="12825"/>
  <c r="U138" i="12825"/>
  <c r="U121" i="12825"/>
  <c r="T121" i="12825"/>
  <c r="T138" i="12825"/>
  <c r="S96" i="12823"/>
  <c r="W111" i="12823" s="1"/>
  <c r="Z172" i="12822"/>
  <c r="Z69" i="12823"/>
  <c r="U124" i="12823"/>
  <c r="D8" i="12830"/>
  <c r="U198" i="12822"/>
  <c r="Y105" i="12825"/>
  <c r="Y106" i="12825"/>
  <c r="Q252" i="12817"/>
  <c r="R244" i="12817"/>
  <c r="R268" i="12817" s="1"/>
  <c r="I74" i="12818"/>
  <c r="I78" i="12818" s="1"/>
  <c r="S42" i="12823"/>
  <c r="U83" i="12823"/>
  <c r="U135" i="12822"/>
  <c r="Z109" i="12822"/>
  <c r="U244" i="12817"/>
  <c r="U268" i="12817" s="1"/>
  <c r="J83" i="12818"/>
  <c r="J85" i="12818"/>
  <c r="J81" i="12818"/>
  <c r="J84" i="12818"/>
  <c r="J86" i="12818"/>
  <c r="J82" i="12818"/>
  <c r="J80" i="12818"/>
  <c r="H107" i="12811"/>
  <c r="D86" i="12818" s="1"/>
  <c r="L64" i="12818"/>
  <c r="J67" i="12818"/>
  <c r="J72" i="12818"/>
  <c r="J74" i="12818"/>
  <c r="L67" i="12818"/>
  <c r="J70" i="12818"/>
  <c r="L76" i="12818"/>
  <c r="L69" i="12818"/>
  <c r="J65" i="12818"/>
  <c r="L70" i="12818"/>
  <c r="L72" i="12818"/>
  <c r="L74" i="12818"/>
  <c r="J64" i="12818"/>
  <c r="L65" i="12818"/>
  <c r="J68" i="12818"/>
  <c r="J75" i="12818"/>
  <c r="J77" i="12818"/>
  <c r="L68" i="12818"/>
  <c r="J71" i="12818"/>
  <c r="J73" i="12818"/>
  <c r="L75" i="12818"/>
  <c r="J66" i="12818"/>
  <c r="L77" i="12818"/>
  <c r="L66" i="12818"/>
  <c r="J69" i="12818"/>
  <c r="L71" i="12818"/>
  <c r="L73" i="12818"/>
  <c r="J76" i="12818"/>
  <c r="H81" i="12811"/>
  <c r="D74" i="12818" s="1"/>
  <c r="L47" i="12818"/>
  <c r="J50" i="12818"/>
  <c r="J57" i="12818"/>
  <c r="J45" i="12818"/>
  <c r="L50" i="12818"/>
  <c r="L52" i="12818"/>
  <c r="L54" i="12818"/>
  <c r="L58" i="12818"/>
  <c r="L57" i="12818"/>
  <c r="L60" i="12818"/>
  <c r="J47" i="12818"/>
  <c r="L45" i="12818"/>
  <c r="J48" i="12818"/>
  <c r="L48" i="12818"/>
  <c r="J51" i="12818"/>
  <c r="J53" i="12818"/>
  <c r="J55" i="12818"/>
  <c r="J56" i="12818"/>
  <c r="J59" i="12818"/>
  <c r="J61" i="12818"/>
  <c r="J58" i="12818"/>
  <c r="J46" i="12818"/>
  <c r="J60" i="12818"/>
  <c r="L46" i="12818"/>
  <c r="J49" i="12818"/>
  <c r="L51" i="12818"/>
  <c r="L53" i="12818"/>
  <c r="L55" i="12818"/>
  <c r="L56" i="12818"/>
  <c r="L59" i="12818"/>
  <c r="L61" i="12818"/>
  <c r="J54" i="12818"/>
  <c r="L49" i="12818"/>
  <c r="J52" i="12818"/>
  <c r="H49" i="12811"/>
  <c r="D54" i="12818" s="1"/>
  <c r="J11" i="12818"/>
  <c r="L20" i="12818"/>
  <c r="L22" i="12818"/>
  <c r="L24" i="12818"/>
  <c r="J16" i="12818"/>
  <c r="L11" i="12818"/>
  <c r="J14" i="12818"/>
  <c r="L16" i="12818"/>
  <c r="L18" i="12818"/>
  <c r="L9" i="12818"/>
  <c r="L14" i="12818"/>
  <c r="J21" i="12818"/>
  <c r="J23" i="12818"/>
  <c r="J9" i="12818"/>
  <c r="J18" i="12818"/>
  <c r="J12" i="12818"/>
  <c r="J17" i="12818"/>
  <c r="J19" i="12818"/>
  <c r="L12" i="12818"/>
  <c r="J15" i="12818"/>
  <c r="L21" i="12818"/>
  <c r="L23" i="12818"/>
  <c r="L13" i="12818"/>
  <c r="J10" i="12818"/>
  <c r="L15" i="12818"/>
  <c r="L17" i="12818"/>
  <c r="L19" i="12818"/>
  <c r="L10" i="12818"/>
  <c r="J13" i="12818"/>
  <c r="J20" i="12818"/>
  <c r="J22" i="12818"/>
  <c r="J24" i="12818"/>
  <c r="H116" i="12811"/>
  <c r="D19" i="12818" s="1"/>
  <c r="L244" i="12817"/>
  <c r="L268" i="12817" s="1"/>
  <c r="J244" i="12817"/>
  <c r="J268" i="12817" s="1"/>
  <c r="K252" i="12817"/>
  <c r="N244" i="12817"/>
  <c r="N268" i="12817" s="1"/>
  <c r="T244" i="12817"/>
  <c r="T268" i="12817" s="1"/>
  <c r="I250" i="12817"/>
  <c r="K250" i="12817" s="1"/>
  <c r="K267" i="12817" s="1"/>
  <c r="O8" i="12826"/>
  <c r="O244" i="12817"/>
  <c r="O268" i="12817" s="1"/>
  <c r="M244" i="12817"/>
  <c r="M268" i="12817" s="1"/>
  <c r="Q244" i="12817"/>
  <c r="Q268" i="12817" s="1"/>
  <c r="P244" i="12817"/>
  <c r="P268" i="12817" s="1"/>
  <c r="K244" i="12817"/>
  <c r="K268" i="12817" s="1"/>
  <c r="P255" i="12817"/>
  <c r="U255" i="12817"/>
  <c r="L255" i="12817"/>
  <c r="T255" i="12817"/>
  <c r="N255" i="12817"/>
  <c r="M255" i="12817"/>
  <c r="Q255" i="12817"/>
  <c r="O255" i="12817"/>
  <c r="J255" i="12817"/>
  <c r="R255" i="12817"/>
  <c r="K255" i="12817"/>
  <c r="N78" i="12818"/>
  <c r="N43" i="12818"/>
  <c r="I37" i="12818"/>
  <c r="D75" i="12818"/>
  <c r="F76" i="12818"/>
  <c r="H76" i="12818" s="1"/>
  <c r="F75" i="12818"/>
  <c r="H75" i="12818" s="1"/>
  <c r="D77" i="12818"/>
  <c r="F77" i="12818"/>
  <c r="H77" i="12818" s="1"/>
  <c r="D76" i="12818"/>
  <c r="D59" i="12818"/>
  <c r="F59" i="12818"/>
  <c r="H59" i="12818" s="1"/>
  <c r="D61" i="12818"/>
  <c r="F61" i="12818"/>
  <c r="H61" i="12818" s="1"/>
  <c r="D60" i="12818"/>
  <c r="F60" i="12818"/>
  <c r="H60" i="12818" s="1"/>
  <c r="D24" i="12818"/>
  <c r="F24" i="12818"/>
  <c r="H24" i="12818" s="1"/>
  <c r="F22" i="12818"/>
  <c r="H22" i="12818" s="1"/>
  <c r="D23" i="12818"/>
  <c r="D22" i="12818"/>
  <c r="F21" i="12818"/>
  <c r="D21" i="12818"/>
  <c r="F23" i="12818"/>
  <c r="H23" i="12818" s="1"/>
  <c r="I242" i="12817"/>
  <c r="L240" i="12817"/>
  <c r="O240" i="12817"/>
  <c r="N240" i="12817"/>
  <c r="U240" i="12817"/>
  <c r="M240" i="12817"/>
  <c r="T240" i="12817"/>
  <c r="S240" i="12817"/>
  <c r="K240" i="12817"/>
  <c r="R240" i="12817"/>
  <c r="P240" i="12817"/>
  <c r="J240" i="12817"/>
  <c r="Q240" i="12817"/>
  <c r="I239" i="12817"/>
  <c r="E36" i="12834" s="1"/>
  <c r="I238" i="12817"/>
  <c r="E53" i="12834" s="1"/>
  <c r="L256" i="12817"/>
  <c r="P256" i="12817"/>
  <c r="O256" i="12817"/>
  <c r="J256" i="12817"/>
  <c r="N256" i="12817"/>
  <c r="U256" i="12817"/>
  <c r="M256" i="12817"/>
  <c r="T256" i="12817"/>
  <c r="K256" i="12817"/>
  <c r="R256" i="12817"/>
  <c r="Q256" i="12817"/>
  <c r="S256" i="12817"/>
  <c r="O247" i="12817"/>
  <c r="P247" i="12817"/>
  <c r="N247" i="12817"/>
  <c r="U247" i="12817"/>
  <c r="M247" i="12817"/>
  <c r="T247" i="12817"/>
  <c r="L247" i="12817"/>
  <c r="K247" i="12817"/>
  <c r="R247" i="12817"/>
  <c r="Q247" i="12817"/>
  <c r="J247" i="12817"/>
  <c r="S247" i="12817"/>
  <c r="I253" i="12817"/>
  <c r="E52" i="12834" s="1"/>
  <c r="R246" i="12817"/>
  <c r="M246" i="12817"/>
  <c r="T246" i="12817"/>
  <c r="L246" i="12817"/>
  <c r="S246" i="12817"/>
  <c r="K246" i="12817"/>
  <c r="Q246" i="12817"/>
  <c r="P246" i="12817"/>
  <c r="J246" i="12817"/>
  <c r="N246" i="12817"/>
  <c r="U246" i="12817"/>
  <c r="O246" i="12817"/>
  <c r="Q241" i="12817"/>
  <c r="K241" i="12817"/>
  <c r="R241" i="12817"/>
  <c r="P241" i="12817"/>
  <c r="O241" i="12817"/>
  <c r="J241" i="12817"/>
  <c r="N241" i="12817"/>
  <c r="M241" i="12817"/>
  <c r="T241" i="12817"/>
  <c r="L241" i="12817"/>
  <c r="S241" i="12817"/>
  <c r="U241" i="12817"/>
  <c r="I249" i="12817"/>
  <c r="I38" i="12818"/>
  <c r="I248" i="12817"/>
  <c r="I251" i="12817"/>
  <c r="E33" i="12834" s="1"/>
  <c r="I243" i="12817"/>
  <c r="M237" i="12817"/>
  <c r="L237" i="12817"/>
  <c r="S237" i="12817"/>
  <c r="K237" i="12817"/>
  <c r="R237" i="12817"/>
  <c r="J237" i="12817"/>
  <c r="Q237" i="12817"/>
  <c r="U237" i="12817"/>
  <c r="P237" i="12817"/>
  <c r="N237" i="12817"/>
  <c r="T237" i="12817"/>
  <c r="O237" i="12817"/>
  <c r="I235" i="12817"/>
  <c r="E34" i="12834" s="1"/>
  <c r="I245" i="12817"/>
  <c r="D20" i="12818"/>
  <c r="D10" i="12818"/>
  <c r="D12" i="12818"/>
  <c r="D14" i="12818"/>
  <c r="D16" i="12818"/>
  <c r="D18" i="12818"/>
  <c r="E18" i="12818" s="1" a="1"/>
  <c r="E18" i="12818" s="1"/>
  <c r="F18" i="12818"/>
  <c r="F20" i="12818"/>
  <c r="F10" i="12818"/>
  <c r="H10" i="12818" s="1"/>
  <c r="F12" i="12818"/>
  <c r="H12" i="12818" s="1"/>
  <c r="F14" i="12818"/>
  <c r="H14" i="12818" s="1"/>
  <c r="F16" i="12818"/>
  <c r="H16" i="12818" s="1"/>
  <c r="D9" i="12818"/>
  <c r="D11" i="12818"/>
  <c r="D13" i="12818"/>
  <c r="D15" i="12818"/>
  <c r="D17" i="12818"/>
  <c r="F19" i="12818"/>
  <c r="F9" i="12818"/>
  <c r="F11" i="12818"/>
  <c r="H11" i="12818" s="1"/>
  <c r="F13" i="12818"/>
  <c r="H13" i="12818" s="1"/>
  <c r="F15" i="12818"/>
  <c r="H15" i="12818" s="1"/>
  <c r="F17" i="12818"/>
  <c r="H17" i="12818" s="1"/>
  <c r="D81" i="12818"/>
  <c r="D83" i="12818"/>
  <c r="F85" i="12818"/>
  <c r="D80" i="12818"/>
  <c r="D82" i="12818"/>
  <c r="D84" i="12818"/>
  <c r="E84" i="12818" s="1" a="1"/>
  <c r="E84" i="12818" s="1"/>
  <c r="F83" i="12818"/>
  <c r="H83" i="12818" s="1"/>
  <c r="F86" i="12818"/>
  <c r="H86" i="12818" s="1"/>
  <c r="F81" i="12818"/>
  <c r="H81" i="12818" s="1"/>
  <c r="F84" i="12818"/>
  <c r="D85" i="12818"/>
  <c r="E85" i="12818" s="1" a="1"/>
  <c r="E85" i="12818" s="1"/>
  <c r="F80" i="12818"/>
  <c r="F82" i="12818"/>
  <c r="H82" i="12818" s="1"/>
  <c r="F54" i="12818"/>
  <c r="F58" i="12818"/>
  <c r="F57" i="12818"/>
  <c r="F46" i="12818"/>
  <c r="H46" i="12818" s="1"/>
  <c r="F48" i="12818"/>
  <c r="H48" i="12818" s="1"/>
  <c r="F50" i="12818"/>
  <c r="H50" i="12818" s="1"/>
  <c r="F52" i="12818"/>
  <c r="H52" i="12818" s="1"/>
  <c r="D55" i="12818"/>
  <c r="D56" i="12818"/>
  <c r="D45" i="12818"/>
  <c r="D47" i="12818"/>
  <c r="D49" i="12818"/>
  <c r="D51" i="12818"/>
  <c r="D53" i="12818"/>
  <c r="E53" i="12818" s="1" a="1"/>
  <c r="E53" i="12818" s="1"/>
  <c r="F45" i="12818"/>
  <c r="F47" i="12818"/>
  <c r="H47" i="12818" s="1"/>
  <c r="F49" i="12818"/>
  <c r="H49" i="12818" s="1"/>
  <c r="F51" i="12818"/>
  <c r="H51" i="12818" s="1"/>
  <c r="D58" i="12818"/>
  <c r="D57" i="12818"/>
  <c r="D46" i="12818"/>
  <c r="D48" i="12818"/>
  <c r="D50" i="12818"/>
  <c r="D52" i="12818"/>
  <c r="F56" i="12818"/>
  <c r="F53" i="12818"/>
  <c r="F55" i="12818"/>
  <c r="F64" i="12818"/>
  <c r="F66" i="12818"/>
  <c r="H66" i="12818" s="1"/>
  <c r="F68" i="12818"/>
  <c r="H68" i="12818" s="1"/>
  <c r="F70" i="12818"/>
  <c r="H70" i="12818" s="1"/>
  <c r="D65" i="12818"/>
  <c r="D67" i="12818"/>
  <c r="D69" i="12818"/>
  <c r="D71" i="12818"/>
  <c r="D73" i="12818"/>
  <c r="D64" i="12818"/>
  <c r="D66" i="12818"/>
  <c r="D68" i="12818"/>
  <c r="D70" i="12818"/>
  <c r="D72" i="12818"/>
  <c r="F71" i="12818"/>
  <c r="H71" i="12818" s="1"/>
  <c r="F65" i="12818"/>
  <c r="H65" i="12818" s="1"/>
  <c r="F74" i="12818"/>
  <c r="F69" i="12818"/>
  <c r="H69" i="12818" s="1"/>
  <c r="F72" i="12818"/>
  <c r="H72" i="12818" s="1"/>
  <c r="F67" i="12818"/>
  <c r="H67" i="12818" s="1"/>
  <c r="F73" i="12818"/>
  <c r="H73" i="12818" s="1"/>
  <c r="I84" i="12818"/>
  <c r="I35" i="12818"/>
  <c r="I85" i="12818"/>
  <c r="E50" i="12834" l="1"/>
  <c r="E13" i="12834"/>
  <c r="E66" i="12834"/>
  <c r="E16" i="12834"/>
  <c r="E71" i="12834"/>
  <c r="E40" i="12834"/>
  <c r="D16" i="12834"/>
  <c r="D71" i="12834"/>
  <c r="H65" i="12834"/>
  <c r="I65" i="12834" s="1"/>
  <c r="J70" i="12834"/>
  <c r="L70" i="12834" s="1"/>
  <c r="M70" i="12834" s="1"/>
  <c r="H70" i="12834"/>
  <c r="I70" i="12834" s="1"/>
  <c r="H39" i="12834"/>
  <c r="I39" i="12834" s="1"/>
  <c r="H59" i="12834"/>
  <c r="I59" i="12834" s="1"/>
  <c r="Z156" i="12825"/>
  <c r="Y156" i="12825"/>
  <c r="E54" i="12834"/>
  <c r="E10" i="12834" s="1"/>
  <c r="E56" i="12834"/>
  <c r="E12" i="12834" s="1"/>
  <c r="E8" i="12834"/>
  <c r="D12" i="12830"/>
  <c r="D14" i="12830"/>
  <c r="D10" i="12830"/>
  <c r="D20" i="12830"/>
  <c r="E20" i="12830" s="1"/>
  <c r="G77" i="12827" s="1"/>
  <c r="F69" i="12834" s="1"/>
  <c r="F17" i="12834" s="1"/>
  <c r="D21" i="12830"/>
  <c r="J65" i="12834"/>
  <c r="L65" i="12834" s="1"/>
  <c r="M65" i="12834" s="1"/>
  <c r="J59" i="12834"/>
  <c r="L59" i="12834" s="1"/>
  <c r="M59" i="12834" s="1"/>
  <c r="J39" i="12834"/>
  <c r="L39" i="12834" s="1"/>
  <c r="M39" i="12834" s="1"/>
  <c r="Z97" i="12825"/>
  <c r="T236" i="12817"/>
  <c r="Y97" i="12825"/>
  <c r="D13" i="12830"/>
  <c r="Z98" i="12825"/>
  <c r="Z105" i="12825"/>
  <c r="Z106" i="12825"/>
  <c r="Y98" i="12825"/>
  <c r="M236" i="12817"/>
  <c r="J236" i="12817"/>
  <c r="S236" i="12817"/>
  <c r="U236" i="12817"/>
  <c r="L236" i="12817"/>
  <c r="N236" i="12817"/>
  <c r="Q236" i="12817"/>
  <c r="O236" i="12817"/>
  <c r="R236" i="12817"/>
  <c r="P236" i="12817"/>
  <c r="I20" i="12818"/>
  <c r="H20" i="12818" s="1"/>
  <c r="K236" i="12817"/>
  <c r="I58" i="12818"/>
  <c r="H58" i="12818" s="1"/>
  <c r="I54" i="12818"/>
  <c r="H54" i="12818" s="1"/>
  <c r="E9" i="12834"/>
  <c r="I53" i="12818"/>
  <c r="H53" i="12818" s="1"/>
  <c r="E15" i="12834"/>
  <c r="K242" i="12817"/>
  <c r="I19" i="12818"/>
  <c r="H19" i="12818" s="1"/>
  <c r="I18" i="12818"/>
  <c r="H18" i="12818" s="1"/>
  <c r="I57" i="12818"/>
  <c r="H57" i="12818" s="1"/>
  <c r="X109" i="12822"/>
  <c r="Y109" i="12822"/>
  <c r="L250" i="12817"/>
  <c r="L267" i="12817" s="1"/>
  <c r="N250" i="12817"/>
  <c r="N267" i="12817" s="1"/>
  <c r="Y173" i="12825"/>
  <c r="M250" i="12817"/>
  <c r="M267" i="12817" s="1"/>
  <c r="T250" i="12817"/>
  <c r="T267" i="12817" s="1"/>
  <c r="O250" i="12817"/>
  <c r="O267" i="12817" s="1"/>
  <c r="P250" i="12817"/>
  <c r="P267" i="12817" s="1"/>
  <c r="J250" i="12817"/>
  <c r="J267" i="12817" s="1"/>
  <c r="U250" i="12817"/>
  <c r="U267" i="12817" s="1"/>
  <c r="Q250" i="12817"/>
  <c r="Q267" i="12817" s="1"/>
  <c r="S250" i="12817"/>
  <c r="S267" i="12817" s="1"/>
  <c r="R250" i="12817"/>
  <c r="R267" i="12817" s="1"/>
  <c r="S111" i="12823"/>
  <c r="S125" i="12823" s="1"/>
  <c r="V111" i="12823"/>
  <c r="T125" i="12823" s="1"/>
  <c r="W156" i="12825"/>
  <c r="V156" i="12825"/>
  <c r="Z165" i="12825"/>
  <c r="Z173" i="12825"/>
  <c r="Y165" i="12825"/>
  <c r="Z115" i="12822"/>
  <c r="Z116" i="12822"/>
  <c r="Z179" i="12822"/>
  <c r="Z178" i="12822"/>
  <c r="T38" i="12826"/>
  <c r="T37" i="12826"/>
  <c r="T61" i="12826"/>
  <c r="T60" i="12826"/>
  <c r="Q66" i="12826"/>
  <c r="O20" i="12826"/>
  <c r="Q43" i="12826"/>
  <c r="U38" i="12826"/>
  <c r="U37" i="12826"/>
  <c r="H74" i="12818"/>
  <c r="O74" i="12818"/>
  <c r="D11" i="12830"/>
  <c r="E11" i="12830" s="1"/>
  <c r="S47" i="12823" s="1"/>
  <c r="S88" i="12823" s="1"/>
  <c r="P74" i="12818"/>
  <c r="O20" i="12818"/>
  <c r="P20" i="12818"/>
  <c r="J25" i="12818"/>
  <c r="K9" i="12818" a="1"/>
  <c r="K9" i="12818" s="1"/>
  <c r="O9" i="12818" s="1"/>
  <c r="P52" i="12818"/>
  <c r="O52" i="12818"/>
  <c r="P56" i="12818"/>
  <c r="O56" i="12818"/>
  <c r="K50" i="12818" a="1"/>
  <c r="K50" i="12818" s="1"/>
  <c r="P50" i="12818" s="1"/>
  <c r="K68" i="12818" a="1"/>
  <c r="K68" i="12818" s="1"/>
  <c r="P68" i="12818" s="1"/>
  <c r="K13" i="12818" a="1"/>
  <c r="K13" i="12818" s="1"/>
  <c r="O13" i="12818" s="1"/>
  <c r="O23" i="12818"/>
  <c r="P23" i="12818"/>
  <c r="O16" i="12818"/>
  <c r="P16" i="12818"/>
  <c r="K49" i="12818" a="1"/>
  <c r="K49" i="12818" s="1"/>
  <c r="O49" i="12818" s="1"/>
  <c r="P55" i="12818"/>
  <c r="O55" i="12818"/>
  <c r="K66" i="12818" a="1"/>
  <c r="K66" i="12818" s="1"/>
  <c r="P66" i="12818" s="1"/>
  <c r="K70" i="12818" a="1"/>
  <c r="K70" i="12818" s="1"/>
  <c r="O70" i="12818" s="1"/>
  <c r="K80" i="12818" a="1"/>
  <c r="K80" i="12818" s="1"/>
  <c r="O80" i="12818" s="1"/>
  <c r="J87" i="12818"/>
  <c r="K15" i="12818" a="1"/>
  <c r="K15" i="12818" s="1"/>
  <c r="P15" i="12818" s="1"/>
  <c r="P21" i="12818"/>
  <c r="O21" i="12818"/>
  <c r="P54" i="12818"/>
  <c r="O54" i="12818"/>
  <c r="O53" i="12818"/>
  <c r="P53" i="12818"/>
  <c r="K64" i="12818" a="1"/>
  <c r="K64" i="12818" s="1"/>
  <c r="J78" i="12818"/>
  <c r="K82" i="12818" a="1"/>
  <c r="K82" i="12818" s="1"/>
  <c r="O82" i="12818" s="1"/>
  <c r="P60" i="12818"/>
  <c r="O60" i="12818"/>
  <c r="P51" i="12818"/>
  <c r="O51" i="12818"/>
  <c r="P76" i="12818"/>
  <c r="O76" i="12818"/>
  <c r="P73" i="12818"/>
  <c r="O73" i="12818"/>
  <c r="R86" i="12818"/>
  <c r="O86" i="12818"/>
  <c r="P86" i="12818"/>
  <c r="P19" i="12818"/>
  <c r="O19" i="12818"/>
  <c r="L25" i="12818"/>
  <c r="K46" i="12818" a="1"/>
  <c r="K46" i="12818" s="1"/>
  <c r="P46" i="12818" s="1"/>
  <c r="P71" i="12818"/>
  <c r="O71" i="12818"/>
  <c r="P72" i="12818"/>
  <c r="O72" i="12818"/>
  <c r="P84" i="12818"/>
  <c r="O84" i="12818"/>
  <c r="O17" i="12818"/>
  <c r="P17" i="12818"/>
  <c r="K11" i="12818" a="1"/>
  <c r="K11" i="12818" s="1"/>
  <c r="O11" i="12818" s="1"/>
  <c r="P58" i="12818"/>
  <c r="O58" i="12818"/>
  <c r="K48" i="12818" a="1"/>
  <c r="K48" i="12818" s="1"/>
  <c r="O48" i="12818" s="1"/>
  <c r="K67" i="12818" a="1"/>
  <c r="K67" i="12818" s="1"/>
  <c r="O67" i="12818" s="1"/>
  <c r="K81" i="12818" a="1"/>
  <c r="K81" i="12818" s="1"/>
  <c r="P81" i="12818" s="1"/>
  <c r="R24" i="12818"/>
  <c r="P24" i="12818"/>
  <c r="O24" i="12818"/>
  <c r="K10" i="12818" a="1"/>
  <c r="K10" i="12818" s="1"/>
  <c r="P10" i="12818" s="1"/>
  <c r="K12" i="12818" a="1"/>
  <c r="K12" i="12818" s="1"/>
  <c r="O12" i="12818" s="1"/>
  <c r="R61" i="12818"/>
  <c r="P61" i="12818"/>
  <c r="O61" i="12818"/>
  <c r="L62" i="12818"/>
  <c r="K45" i="12818" a="1"/>
  <c r="K45" i="12818" s="1"/>
  <c r="O45" i="12818" s="1"/>
  <c r="J62" i="12818"/>
  <c r="K69" i="12818" a="1"/>
  <c r="K69" i="12818" s="1"/>
  <c r="O69" i="12818" s="1"/>
  <c r="R77" i="12818"/>
  <c r="O77" i="12818"/>
  <c r="P77" i="12818"/>
  <c r="K65" i="12818" a="1"/>
  <c r="K65" i="12818" s="1"/>
  <c r="P65" i="12818" s="1"/>
  <c r="L78" i="12818"/>
  <c r="P85" i="12818"/>
  <c r="O85" i="12818"/>
  <c r="P22" i="12818"/>
  <c r="O22" i="12818"/>
  <c r="P18" i="12818"/>
  <c r="O18" i="12818"/>
  <c r="K14" i="12818" a="1"/>
  <c r="K14" i="12818" s="1"/>
  <c r="P14" i="12818" s="1"/>
  <c r="O59" i="12818"/>
  <c r="P59" i="12818"/>
  <c r="K47" i="12818" a="1"/>
  <c r="K47" i="12818" s="1"/>
  <c r="P47" i="12818" s="1"/>
  <c r="O57" i="12818"/>
  <c r="P57" i="12818"/>
  <c r="O75" i="12818"/>
  <c r="P75" i="12818"/>
  <c r="O83" i="12818"/>
  <c r="P83" i="12818"/>
  <c r="I268" i="12817"/>
  <c r="P242" i="12817"/>
  <c r="L242" i="12817"/>
  <c r="M242" i="12817"/>
  <c r="U242" i="12817"/>
  <c r="N242" i="12817"/>
  <c r="N89" i="12818"/>
  <c r="Q242" i="12817"/>
  <c r="O242" i="12817"/>
  <c r="R242" i="12817"/>
  <c r="S242" i="12817"/>
  <c r="T242" i="12817"/>
  <c r="E25" i="12818"/>
  <c r="E62" i="12818"/>
  <c r="J242" i="12817"/>
  <c r="Q249" i="12817"/>
  <c r="Q266" i="12817" s="1"/>
  <c r="O249" i="12817"/>
  <c r="O266" i="12817" s="1"/>
  <c r="N249" i="12817"/>
  <c r="N266" i="12817" s="1"/>
  <c r="U249" i="12817"/>
  <c r="U266" i="12817" s="1"/>
  <c r="J249" i="12817"/>
  <c r="J266" i="12817" s="1"/>
  <c r="M249" i="12817"/>
  <c r="M266" i="12817" s="1"/>
  <c r="T249" i="12817"/>
  <c r="T266" i="12817" s="1"/>
  <c r="L249" i="12817"/>
  <c r="L266" i="12817" s="1"/>
  <c r="S249" i="12817"/>
  <c r="S266" i="12817" s="1"/>
  <c r="P249" i="12817"/>
  <c r="P266" i="12817" s="1"/>
  <c r="K249" i="12817"/>
  <c r="K266" i="12817" s="1"/>
  <c r="R249" i="12817"/>
  <c r="R266" i="12817" s="1"/>
  <c r="O239" i="12817"/>
  <c r="S239" i="12817"/>
  <c r="K239" i="12817"/>
  <c r="R239" i="12817"/>
  <c r="Q239" i="12817"/>
  <c r="P239" i="12817"/>
  <c r="M239" i="12817"/>
  <c r="J239" i="12817"/>
  <c r="T239" i="12817"/>
  <c r="L239" i="12817"/>
  <c r="N239" i="12817"/>
  <c r="U239" i="12817"/>
  <c r="I21" i="12818"/>
  <c r="H21" i="12818" s="1"/>
  <c r="K243" i="12817"/>
  <c r="K264" i="12817" s="1"/>
  <c r="Q243" i="12817"/>
  <c r="Q264" i="12817" s="1"/>
  <c r="P243" i="12817"/>
  <c r="P264" i="12817" s="1"/>
  <c r="S243" i="12817"/>
  <c r="S264" i="12817" s="1"/>
  <c r="J243" i="12817"/>
  <c r="J264" i="12817" s="1"/>
  <c r="O243" i="12817"/>
  <c r="O264" i="12817" s="1"/>
  <c r="N243" i="12817"/>
  <c r="N264" i="12817" s="1"/>
  <c r="U243" i="12817"/>
  <c r="U264" i="12817" s="1"/>
  <c r="L243" i="12817"/>
  <c r="L264" i="12817" s="1"/>
  <c r="R243" i="12817"/>
  <c r="R264" i="12817" s="1"/>
  <c r="M243" i="12817"/>
  <c r="M264" i="12817" s="1"/>
  <c r="T243" i="12817"/>
  <c r="T264" i="12817" s="1"/>
  <c r="K251" i="12817"/>
  <c r="O251" i="12817"/>
  <c r="N251" i="12817"/>
  <c r="U251" i="12817"/>
  <c r="J251" i="12817"/>
  <c r="M251" i="12817"/>
  <c r="T251" i="12817"/>
  <c r="L251" i="12817"/>
  <c r="R251" i="12817"/>
  <c r="P251" i="12817"/>
  <c r="S251" i="12817"/>
  <c r="Q251" i="12817"/>
  <c r="M253" i="12817"/>
  <c r="N253" i="12817"/>
  <c r="T253" i="12817"/>
  <c r="L253" i="12817"/>
  <c r="S253" i="12817"/>
  <c r="K253" i="12817"/>
  <c r="R253" i="12817"/>
  <c r="P253" i="12817"/>
  <c r="J253" i="12817"/>
  <c r="O253" i="12817"/>
  <c r="Q253" i="12817"/>
  <c r="U253" i="12817"/>
  <c r="K235" i="12817"/>
  <c r="K261" i="12817" s="1"/>
  <c r="M235" i="12817"/>
  <c r="M261" i="12817" s="1"/>
  <c r="T235" i="12817"/>
  <c r="T261" i="12817" s="1"/>
  <c r="L235" i="12817"/>
  <c r="L261" i="12817" s="1"/>
  <c r="R235" i="12817"/>
  <c r="R261" i="12817" s="1"/>
  <c r="Q235" i="12817"/>
  <c r="Q261" i="12817" s="1"/>
  <c r="P235" i="12817"/>
  <c r="P261" i="12817" s="1"/>
  <c r="S235" i="12817"/>
  <c r="S261" i="12817" s="1"/>
  <c r="O235" i="12817"/>
  <c r="O261" i="12817" s="1"/>
  <c r="N235" i="12817"/>
  <c r="N261" i="12817" s="1"/>
  <c r="U235" i="12817"/>
  <c r="U261" i="12817" s="1"/>
  <c r="J235" i="12817"/>
  <c r="J261" i="12817" s="1"/>
  <c r="L248" i="12817"/>
  <c r="L265" i="12817" s="1"/>
  <c r="S248" i="12817"/>
  <c r="S265" i="12817" s="1"/>
  <c r="K248" i="12817"/>
  <c r="K265" i="12817" s="1"/>
  <c r="R248" i="12817"/>
  <c r="R265" i="12817" s="1"/>
  <c r="Q248" i="12817"/>
  <c r="Q265" i="12817" s="1"/>
  <c r="J248" i="12817"/>
  <c r="J265" i="12817" s="1"/>
  <c r="P248" i="12817"/>
  <c r="P265" i="12817" s="1"/>
  <c r="N248" i="12817"/>
  <c r="N265" i="12817" s="1"/>
  <c r="U248" i="12817"/>
  <c r="U265" i="12817" s="1"/>
  <c r="M248" i="12817"/>
  <c r="M265" i="12817" s="1"/>
  <c r="T248" i="12817"/>
  <c r="T265" i="12817" s="1"/>
  <c r="O248" i="12817"/>
  <c r="O265" i="12817" s="1"/>
  <c r="M245" i="12817"/>
  <c r="M270" i="12817" s="1"/>
  <c r="Q245" i="12817"/>
  <c r="Q270" i="12817" s="1"/>
  <c r="J245" i="12817"/>
  <c r="J270" i="12817" s="1"/>
  <c r="U245" i="12817"/>
  <c r="U270" i="12817" s="1"/>
  <c r="P245" i="12817"/>
  <c r="P270" i="12817" s="1"/>
  <c r="O245" i="12817"/>
  <c r="O270" i="12817" s="1"/>
  <c r="N245" i="12817"/>
  <c r="N270" i="12817" s="1"/>
  <c r="T245" i="12817"/>
  <c r="T270" i="12817" s="1"/>
  <c r="K245" i="12817"/>
  <c r="K270" i="12817" s="1"/>
  <c r="R245" i="12817"/>
  <c r="R270" i="12817" s="1"/>
  <c r="L245" i="12817"/>
  <c r="L270" i="12817" s="1"/>
  <c r="S245" i="12817"/>
  <c r="S270" i="12817" s="1"/>
  <c r="R238" i="12817"/>
  <c r="O238" i="12817"/>
  <c r="J238" i="12817"/>
  <c r="N238" i="12817"/>
  <c r="U238" i="12817"/>
  <c r="M238" i="12817"/>
  <c r="T238" i="12817"/>
  <c r="L238" i="12817"/>
  <c r="S238" i="12817"/>
  <c r="Q238" i="12817"/>
  <c r="P238" i="12817"/>
  <c r="K238" i="12817"/>
  <c r="H85" i="12818"/>
  <c r="I55" i="12818"/>
  <c r="H55" i="12818" s="1"/>
  <c r="E87" i="12818"/>
  <c r="I56" i="12818"/>
  <c r="H56" i="12818" s="1"/>
  <c r="I43" i="12818"/>
  <c r="F25" i="12818"/>
  <c r="H9" i="12818"/>
  <c r="F78" i="12818"/>
  <c r="H64" i="12818"/>
  <c r="D62" i="12818"/>
  <c r="H84" i="12818"/>
  <c r="I87" i="12818"/>
  <c r="F62" i="12818"/>
  <c r="H45" i="12818"/>
  <c r="D78" i="12818"/>
  <c r="F87" i="12818"/>
  <c r="H80" i="12818"/>
  <c r="D87" i="12818"/>
  <c r="D25" i="12818"/>
  <c r="E60" i="12834" l="1"/>
  <c r="E11" i="12834"/>
  <c r="X156" i="12825"/>
  <c r="M262" i="12817"/>
  <c r="T262" i="12817"/>
  <c r="G179" i="12827"/>
  <c r="R85" i="12818"/>
  <c r="Q85" i="12818" s="1"/>
  <c r="H128" i="12827"/>
  <c r="H179" i="12827"/>
  <c r="E19" i="12830"/>
  <c r="G75" i="12827" s="1"/>
  <c r="G177" i="12827" s="1"/>
  <c r="G128" i="12827"/>
  <c r="D15" i="12830"/>
  <c r="E7" i="12830" s="1"/>
  <c r="S103" i="12821" s="1"/>
  <c r="F53" i="12834" s="1"/>
  <c r="R262" i="12817"/>
  <c r="L262" i="12817"/>
  <c r="Q262" i="12817"/>
  <c r="U262" i="12817"/>
  <c r="K262" i="12817"/>
  <c r="N262" i="12817"/>
  <c r="P262" i="12817"/>
  <c r="J262" i="12817"/>
  <c r="S262" i="12817"/>
  <c r="O262" i="12817"/>
  <c r="K263" i="12817"/>
  <c r="E19" i="12834"/>
  <c r="M263" i="12817"/>
  <c r="U263" i="12817"/>
  <c r="T156" i="12825"/>
  <c r="X173" i="12825" s="1"/>
  <c r="T173" i="12825" s="1"/>
  <c r="L263" i="12817"/>
  <c r="I267" i="12817"/>
  <c r="T129" i="12823"/>
  <c r="S129" i="12823"/>
  <c r="F62" i="12834" s="1"/>
  <c r="V100" i="12823"/>
  <c r="U100" i="12823"/>
  <c r="U59" i="12823"/>
  <c r="V59" i="12823"/>
  <c r="T88" i="12823"/>
  <c r="H78" i="12818"/>
  <c r="P67" i="12818"/>
  <c r="Q67" i="12818" s="1"/>
  <c r="R74" i="12818"/>
  <c r="J263" i="12817"/>
  <c r="Q263" i="12817"/>
  <c r="Q16" i="12818"/>
  <c r="Q71" i="12818"/>
  <c r="Q60" i="12818"/>
  <c r="Q17" i="12818"/>
  <c r="P82" i="12818"/>
  <c r="Q82" i="12818" s="1"/>
  <c r="O10" i="12818"/>
  <c r="Q10" i="12818" s="1"/>
  <c r="Q51" i="12818"/>
  <c r="Q59" i="12818"/>
  <c r="Q83" i="12818"/>
  <c r="O81" i="12818"/>
  <c r="O87" i="12818" s="1"/>
  <c r="Q76" i="12818"/>
  <c r="P11" i="12818"/>
  <c r="Q11" i="12818" s="1"/>
  <c r="O47" i="12818"/>
  <c r="Q47" i="12818" s="1"/>
  <c r="P69" i="12818"/>
  <c r="Q69" i="12818" s="1"/>
  <c r="P70" i="12818"/>
  <c r="Q70" i="12818" s="1"/>
  <c r="Q75" i="12818"/>
  <c r="P80" i="12818"/>
  <c r="P48" i="12818"/>
  <c r="Q48" i="12818" s="1"/>
  <c r="O46" i="12818"/>
  <c r="Q46" i="12818" s="1"/>
  <c r="Q73" i="12818"/>
  <c r="Q23" i="12818"/>
  <c r="O14" i="12818"/>
  <c r="Q14" i="12818" s="1"/>
  <c r="Q61" i="12818"/>
  <c r="P13" i="12818"/>
  <c r="Q13" i="12818" s="1"/>
  <c r="Q72" i="12818"/>
  <c r="Q52" i="12818"/>
  <c r="O68" i="12818"/>
  <c r="Q68" i="12818" s="1"/>
  <c r="O64" i="12818"/>
  <c r="Q22" i="12818"/>
  <c r="Q77" i="12818"/>
  <c r="P64" i="12818"/>
  <c r="O66" i="12818"/>
  <c r="Q66" i="12818" s="1"/>
  <c r="K62" i="12818"/>
  <c r="O65" i="12818"/>
  <c r="Q65" i="12818" s="1"/>
  <c r="O15" i="12818"/>
  <c r="Q15" i="12818" s="1"/>
  <c r="P12" i="12818"/>
  <c r="Q12" i="12818" s="1"/>
  <c r="Q24" i="12818"/>
  <c r="Q86" i="12818"/>
  <c r="P49" i="12818"/>
  <c r="Q49" i="12818" s="1"/>
  <c r="O50" i="12818"/>
  <c r="P45" i="12818"/>
  <c r="Q45" i="12818" s="1"/>
  <c r="P9" i="12818"/>
  <c r="Q9" i="12818" s="1"/>
  <c r="K25" i="12818"/>
  <c r="K87" i="12818"/>
  <c r="K78" i="12818"/>
  <c r="I270" i="12817"/>
  <c r="I261" i="12817"/>
  <c r="I265" i="12817"/>
  <c r="I264" i="12817"/>
  <c r="I266" i="12817"/>
  <c r="O263" i="12817"/>
  <c r="P263" i="12817"/>
  <c r="R263" i="12817"/>
  <c r="N263" i="12817"/>
  <c r="T263" i="12817"/>
  <c r="I25" i="12818"/>
  <c r="R269" i="12817"/>
  <c r="S263" i="12817"/>
  <c r="T269" i="12817"/>
  <c r="S269" i="12817"/>
  <c r="M269" i="12817"/>
  <c r="J269" i="12817"/>
  <c r="Q269" i="12817"/>
  <c r="U269" i="12817"/>
  <c r="N269" i="12817"/>
  <c r="P269" i="12817"/>
  <c r="O269" i="12817"/>
  <c r="K269" i="12817"/>
  <c r="L269" i="12817"/>
  <c r="I62" i="12818"/>
  <c r="H62" i="12818"/>
  <c r="H25" i="12818"/>
  <c r="H87" i="12818"/>
  <c r="F13" i="12834" l="1"/>
  <c r="W13" i="12834" s="1"/>
  <c r="F66" i="12834"/>
  <c r="X179" i="12825"/>
  <c r="T179" i="12825" s="1"/>
  <c r="W173" i="12825"/>
  <c r="U212" i="12825" s="1"/>
  <c r="H177" i="12827"/>
  <c r="H126" i="12827"/>
  <c r="F68" i="12834"/>
  <c r="F71" i="12834" s="1"/>
  <c r="G126" i="12827"/>
  <c r="R84" i="12818"/>
  <c r="Q84" i="12818" s="1"/>
  <c r="E14" i="12830"/>
  <c r="T81" i="12825" s="1"/>
  <c r="R54" i="12818"/>
  <c r="Q54" i="12818" s="1"/>
  <c r="E10" i="12830"/>
  <c r="S89" i="12822" s="1"/>
  <c r="S152" i="12822" s="1"/>
  <c r="T215" i="12822" s="1"/>
  <c r="S180" i="12821"/>
  <c r="S257" i="12821" s="1"/>
  <c r="E18" i="12830"/>
  <c r="G62" i="12827" s="1"/>
  <c r="G164" i="12827" s="1"/>
  <c r="E15" i="12830"/>
  <c r="O23" i="12826" s="1"/>
  <c r="T180" i="12821"/>
  <c r="E12" i="12830"/>
  <c r="F23" i="12824" s="1"/>
  <c r="I262" i="12817"/>
  <c r="E73" i="12834"/>
  <c r="E25" i="12834"/>
  <c r="X165" i="12825"/>
  <c r="T165" i="12825" s="1"/>
  <c r="S100" i="12823"/>
  <c r="S59" i="12823"/>
  <c r="O62" i="12818"/>
  <c r="P87" i="12818"/>
  <c r="Q50" i="12818"/>
  <c r="Q64" i="12818"/>
  <c r="P78" i="12818"/>
  <c r="Q80" i="12818"/>
  <c r="Q81" i="12818"/>
  <c r="P25" i="12818"/>
  <c r="O25" i="12818"/>
  <c r="P62" i="12818"/>
  <c r="O78" i="12818"/>
  <c r="I263" i="12817"/>
  <c r="I269" i="12817"/>
  <c r="I89" i="12818"/>
  <c r="J3" i="12811"/>
  <c r="D42" i="12834" s="1" a="1"/>
  <c r="D42" i="12834" s="1"/>
  <c r="D50" i="12834" s="1"/>
  <c r="F55" i="12834" l="1"/>
  <c r="W179" i="12825"/>
  <c r="W212" i="12825" s="1"/>
  <c r="Q33" i="12826"/>
  <c r="U195" i="12825"/>
  <c r="W165" i="12825"/>
  <c r="U187" i="12825" s="1"/>
  <c r="W147" i="12825"/>
  <c r="T257" i="12821"/>
  <c r="F16" i="12834"/>
  <c r="R87" i="12818"/>
  <c r="K115" i="12833"/>
  <c r="K118" i="12833"/>
  <c r="K114" i="12833"/>
  <c r="K113" i="12833"/>
  <c r="G37" i="12824"/>
  <c r="K121" i="12833"/>
  <c r="U147" i="12825"/>
  <c r="K111" i="12833"/>
  <c r="F51" i="12824"/>
  <c r="H164" i="12827"/>
  <c r="H113" i="12827"/>
  <c r="K120" i="12833"/>
  <c r="R58" i="12818"/>
  <c r="Q58" i="12818" s="1"/>
  <c r="R56" i="12818"/>
  <c r="Q56" i="12818" s="1"/>
  <c r="K119" i="12833"/>
  <c r="T147" i="12825"/>
  <c r="R57" i="12818"/>
  <c r="Q57" i="12818" s="1"/>
  <c r="P46" i="12826"/>
  <c r="K116" i="12833"/>
  <c r="R53" i="12818"/>
  <c r="Q53" i="12818" s="1"/>
  <c r="O46" i="12826"/>
  <c r="P69" i="12826" s="1"/>
  <c r="F56" i="12834"/>
  <c r="F12" i="12834" s="1"/>
  <c r="W12" i="12834" s="1"/>
  <c r="F37" i="12824"/>
  <c r="K117" i="12833"/>
  <c r="K112" i="12833"/>
  <c r="G51" i="12824"/>
  <c r="G113" i="12827"/>
  <c r="T152" i="12822"/>
  <c r="F52" i="12834"/>
  <c r="R33" i="12826"/>
  <c r="F54" i="12834"/>
  <c r="R55" i="12818"/>
  <c r="Q55" i="12818" s="1"/>
  <c r="S215" i="12822"/>
  <c r="G49" i="12834"/>
  <c r="K23" i="12834"/>
  <c r="F49" i="12834"/>
  <c r="T204" i="12825"/>
  <c r="T187" i="12825"/>
  <c r="T195" i="12825"/>
  <c r="T212" i="12825"/>
  <c r="Q87" i="12818"/>
  <c r="J29" i="12818"/>
  <c r="J34" i="12818"/>
  <c r="J36" i="12818"/>
  <c r="L38" i="12818"/>
  <c r="L29" i="12818"/>
  <c r="J32" i="12818"/>
  <c r="J39" i="12818"/>
  <c r="J41" i="12818"/>
  <c r="L31" i="12818"/>
  <c r="J27" i="12818"/>
  <c r="L32" i="12818"/>
  <c r="L34" i="12818"/>
  <c r="L36" i="12818"/>
  <c r="L27" i="12818"/>
  <c r="J30" i="12818"/>
  <c r="J37" i="12818"/>
  <c r="L39" i="12818"/>
  <c r="L41" i="12818"/>
  <c r="L30" i="12818"/>
  <c r="J33" i="12818"/>
  <c r="J35" i="12818"/>
  <c r="J28" i="12818"/>
  <c r="L37" i="12818"/>
  <c r="J40" i="12818"/>
  <c r="J42" i="12818"/>
  <c r="L42" i="12818"/>
  <c r="L28" i="12818"/>
  <c r="J31" i="12818"/>
  <c r="L33" i="12818"/>
  <c r="L35" i="12818"/>
  <c r="J38" i="12818"/>
  <c r="L40" i="12818"/>
  <c r="H3" i="12811"/>
  <c r="D36" i="12818" s="1"/>
  <c r="E13" i="12830"/>
  <c r="T66" i="12825" s="1"/>
  <c r="E9" i="12830"/>
  <c r="S76" i="12822" s="1"/>
  <c r="F44" i="12834" s="1"/>
  <c r="E17" i="12830"/>
  <c r="G58" i="12827" s="1"/>
  <c r="F42" i="12834" s="1"/>
  <c r="E6" i="12830"/>
  <c r="S89" i="12821" s="1"/>
  <c r="F43" i="12834" s="1"/>
  <c r="E21" i="12830"/>
  <c r="G81" i="12827" s="1"/>
  <c r="F46" i="12834" s="1"/>
  <c r="F18" i="12834" s="1"/>
  <c r="F36" i="12818"/>
  <c r="H36" i="12818" s="1"/>
  <c r="F38" i="12818"/>
  <c r="H38" i="12818" s="1"/>
  <c r="F40" i="12818"/>
  <c r="H40" i="12818" s="1"/>
  <c r="D42" i="12818"/>
  <c r="D40" i="12818"/>
  <c r="F42" i="12818"/>
  <c r="H42" i="12818" s="1"/>
  <c r="D37" i="12818"/>
  <c r="D39" i="12818"/>
  <c r="F41" i="12818"/>
  <c r="H41" i="12818" s="1"/>
  <c r="D38" i="12818"/>
  <c r="F37" i="12818"/>
  <c r="H37" i="12818" s="1"/>
  <c r="F39" i="12818"/>
  <c r="H39" i="12818" s="1"/>
  <c r="D41" i="12818"/>
  <c r="D28" i="12818"/>
  <c r="D30" i="12818"/>
  <c r="D32" i="12818"/>
  <c r="D34" i="12818"/>
  <c r="F28" i="12818"/>
  <c r="H28" i="12818" s="1"/>
  <c r="F30" i="12818"/>
  <c r="H30" i="12818" s="1"/>
  <c r="F32" i="12818"/>
  <c r="H32" i="12818" s="1"/>
  <c r="F34" i="12818"/>
  <c r="H34" i="12818" s="1"/>
  <c r="D27" i="12818"/>
  <c r="D29" i="12818"/>
  <c r="D31" i="12818"/>
  <c r="D33" i="12818"/>
  <c r="D35" i="12818"/>
  <c r="E35" i="12818" s="1" a="1"/>
  <c r="E35" i="12818" s="1"/>
  <c r="F35" i="12818"/>
  <c r="H35" i="12818" s="1"/>
  <c r="F27" i="12818"/>
  <c r="F29" i="12818"/>
  <c r="H29" i="12818" s="1"/>
  <c r="F31" i="12818"/>
  <c r="H31" i="12818" s="1"/>
  <c r="F33" i="12818"/>
  <c r="H33" i="12818" s="1"/>
  <c r="U204" i="12825" l="1"/>
  <c r="F60" i="12834"/>
  <c r="G23" i="12834"/>
  <c r="H49" i="12834"/>
  <c r="I49" i="12834" s="1"/>
  <c r="F23" i="12834"/>
  <c r="N49" i="12834"/>
  <c r="O49" i="12834" s="1"/>
  <c r="W195" i="12825"/>
  <c r="W187" i="12825"/>
  <c r="W204" i="12825"/>
  <c r="O33" i="12826"/>
  <c r="T213" i="12825"/>
  <c r="W213" i="12825"/>
  <c r="Z91" i="12825"/>
  <c r="W130" i="12825"/>
  <c r="F45" i="12834"/>
  <c r="F11" i="12834" s="1"/>
  <c r="V91" i="12825"/>
  <c r="Y91" i="12825"/>
  <c r="U213" i="12825"/>
  <c r="J49" i="12834"/>
  <c r="L49" i="12834" s="1"/>
  <c r="M49" i="12834" s="1"/>
  <c r="D73" i="12834"/>
  <c r="D15" i="12834"/>
  <c r="D19" i="12834" s="1"/>
  <c r="Q62" i="12818"/>
  <c r="K128" i="12833"/>
  <c r="AA11" i="12834" s="1"/>
  <c r="O69" i="12826"/>
  <c r="R56" i="12826"/>
  <c r="Q56" i="12826"/>
  <c r="R62" i="12818"/>
  <c r="H23" i="12834"/>
  <c r="S140" i="12822"/>
  <c r="T164" i="12821"/>
  <c r="S164" i="12821"/>
  <c r="H160" i="12827"/>
  <c r="G160" i="12827"/>
  <c r="H183" i="12827"/>
  <c r="G183" i="12827"/>
  <c r="G109" i="12827"/>
  <c r="G132" i="12827"/>
  <c r="U130" i="12825"/>
  <c r="T130" i="12825"/>
  <c r="W196" i="12825" s="1"/>
  <c r="W91" i="12825"/>
  <c r="R38" i="12818"/>
  <c r="R37" i="12818"/>
  <c r="T140" i="12822"/>
  <c r="R36" i="12818"/>
  <c r="H132" i="12827"/>
  <c r="R35" i="12818"/>
  <c r="H109" i="12827"/>
  <c r="R39" i="12818"/>
  <c r="O40" i="12818"/>
  <c r="P40" i="12818"/>
  <c r="O37" i="12818"/>
  <c r="P37" i="12818"/>
  <c r="O41" i="12818"/>
  <c r="P41" i="12818"/>
  <c r="O38" i="12818"/>
  <c r="P38" i="12818"/>
  <c r="K30" i="12818" a="1"/>
  <c r="K30" i="12818" s="1"/>
  <c r="P30" i="12818" s="1"/>
  <c r="P39" i="12818"/>
  <c r="O39" i="12818"/>
  <c r="K28" i="12818" a="1"/>
  <c r="K28" i="12818" s="1"/>
  <c r="O28" i="12818" s="1"/>
  <c r="L43" i="12818"/>
  <c r="L89" i="12818" s="1"/>
  <c r="K32" i="12818" a="1"/>
  <c r="K32" i="12818" s="1"/>
  <c r="P32" i="12818" s="1"/>
  <c r="P35" i="12818"/>
  <c r="O35" i="12818"/>
  <c r="K31" i="12818" a="1"/>
  <c r="K31" i="12818" s="1"/>
  <c r="P31" i="12818" s="1"/>
  <c r="P33" i="12818"/>
  <c r="O33" i="12818"/>
  <c r="P36" i="12818"/>
  <c r="O36" i="12818"/>
  <c r="K27" i="12818" a="1"/>
  <c r="K27" i="12818" s="1"/>
  <c r="P27" i="12818" s="1"/>
  <c r="J43" i="12818"/>
  <c r="J89" i="12818" s="1"/>
  <c r="O34" i="12818"/>
  <c r="P34" i="12818"/>
  <c r="R42" i="12818"/>
  <c r="O42" i="12818"/>
  <c r="P42" i="12818"/>
  <c r="K29" i="12818" a="1"/>
  <c r="K29" i="12818" s="1"/>
  <c r="O29" i="12818" s="1"/>
  <c r="E43" i="12818"/>
  <c r="E89" i="12818" s="1"/>
  <c r="F43" i="12818"/>
  <c r="H27" i="12818"/>
  <c r="H43" i="12818" s="1"/>
  <c r="D43" i="12818"/>
  <c r="D89" i="12818" s="1"/>
  <c r="W11" i="12834" l="1"/>
  <c r="AA15" i="12834"/>
  <c r="F50" i="12834"/>
  <c r="X91" i="12825"/>
  <c r="Y157" i="12825"/>
  <c r="Z157" i="12825"/>
  <c r="I23" i="12834"/>
  <c r="N23" i="12834"/>
  <c r="O23" i="12834" s="1"/>
  <c r="J23" i="12834"/>
  <c r="D25" i="12834"/>
  <c r="O56" i="12826"/>
  <c r="T203" i="12822"/>
  <c r="S203" i="12822"/>
  <c r="T241" i="12821"/>
  <c r="S241" i="12821"/>
  <c r="V157" i="12825"/>
  <c r="W157" i="12825"/>
  <c r="T91" i="12825"/>
  <c r="U196" i="12825"/>
  <c r="T196" i="12825"/>
  <c r="Q36" i="12818"/>
  <c r="Q39" i="12818"/>
  <c r="Q33" i="12818"/>
  <c r="Q34" i="12818"/>
  <c r="Q35" i="12818"/>
  <c r="Q40" i="12818"/>
  <c r="Q37" i="12818"/>
  <c r="Q38" i="12818"/>
  <c r="O30" i="12818"/>
  <c r="Q30" i="12818" s="1"/>
  <c r="O27" i="12818"/>
  <c r="P28" i="12818"/>
  <c r="Q28" i="12818" s="1"/>
  <c r="Q41" i="12818"/>
  <c r="O31" i="12818"/>
  <c r="Q31" i="12818" s="1"/>
  <c r="O32" i="12818"/>
  <c r="Q32" i="12818" s="1"/>
  <c r="P29" i="12818"/>
  <c r="Q29" i="12818" s="1"/>
  <c r="Q42" i="12818"/>
  <c r="K43" i="12818"/>
  <c r="K89" i="12818" s="1"/>
  <c r="R43" i="12818"/>
  <c r="R78" i="12818"/>
  <c r="Q74" i="12818"/>
  <c r="Q78" i="12818" s="1"/>
  <c r="H89" i="12818"/>
  <c r="F89" i="12818"/>
  <c r="X157" i="12825" l="1"/>
  <c r="L23" i="12834"/>
  <c r="T157" i="12825"/>
  <c r="O43" i="12818"/>
  <c r="O89" i="12818" s="1"/>
  <c r="Q27" i="12818"/>
  <c r="Q43" i="12818" s="1"/>
  <c r="P43" i="12818"/>
  <c r="P89" i="12818" s="1"/>
  <c r="C18" i="12763"/>
  <c r="F18" i="12763" s="1"/>
  <c r="M23" i="12834" l="1"/>
  <c r="C49" i="12763"/>
  <c r="F49" i="12763" s="1"/>
  <c r="C48" i="12763" l="1"/>
  <c r="F48" i="12763" s="1"/>
  <c r="C47" i="12763"/>
  <c r="F47" i="12763" s="1"/>
  <c r="C46" i="12763"/>
  <c r="F46" i="12763" s="1"/>
  <c r="C45" i="12763"/>
  <c r="F45" i="12763" s="1"/>
  <c r="C44" i="12763"/>
  <c r="F44" i="12763" s="1"/>
  <c r="C43" i="12763"/>
  <c r="C39" i="12763"/>
  <c r="C38" i="12763"/>
  <c r="C37" i="12763"/>
  <c r="C36" i="12763"/>
  <c r="C35" i="12763"/>
  <c r="C34" i="12763"/>
  <c r="F34" i="12763" s="1"/>
  <c r="C30" i="12763"/>
  <c r="C29" i="12763"/>
  <c r="F29" i="12763" s="1"/>
  <c r="C25" i="12763"/>
  <c r="C24" i="12763"/>
  <c r="C23" i="12763"/>
  <c r="C22" i="12763"/>
  <c r="C21" i="12763"/>
  <c r="C20" i="12763"/>
  <c r="C19" i="12763"/>
  <c r="C14" i="12763"/>
  <c r="F14" i="12763" s="1"/>
  <c r="C13" i="12763"/>
  <c r="F13" i="12763" s="1"/>
  <c r="C12" i="12763"/>
  <c r="C11" i="12763"/>
  <c r="C10" i="12763"/>
  <c r="F10" i="12763" s="1"/>
  <c r="C9" i="12763"/>
  <c r="F9" i="12763" s="1"/>
  <c r="C8" i="12763"/>
  <c r="F8" i="12763" s="1"/>
  <c r="A4" i="12763"/>
  <c r="A3" i="12763"/>
  <c r="A2" i="12763"/>
  <c r="F11" i="12763" l="1"/>
  <c r="F43" i="12763"/>
  <c r="C50" i="12763"/>
  <c r="F12" i="12763"/>
  <c r="F36" i="12763"/>
  <c r="F38" i="12763"/>
  <c r="F35" i="12763"/>
  <c r="F37" i="12763"/>
  <c r="F30" i="12763"/>
  <c r="F19" i="12763"/>
  <c r="F21" i="12763"/>
  <c r="F23" i="12763"/>
  <c r="F25" i="12763"/>
  <c r="F20" i="12763"/>
  <c r="F22" i="12763"/>
  <c r="F24" i="12763"/>
  <c r="C31" i="12763"/>
  <c r="C15" i="12763"/>
  <c r="C40" i="12763"/>
  <c r="C26" i="12763"/>
  <c r="F52" i="12763" l="1"/>
  <c r="C52" i="12763"/>
  <c r="F54" i="12763" l="1"/>
  <c r="A2" i="12761"/>
  <c r="A3" i="12761"/>
  <c r="A4" i="12761"/>
  <c r="E7" i="12761"/>
  <c r="F7" i="12761" s="1"/>
  <c r="G7" i="12761" s="1"/>
  <c r="H7" i="12761" s="1"/>
  <c r="J7" i="12761"/>
  <c r="K7" i="12761" s="1"/>
  <c r="L7" i="12761" s="1"/>
  <c r="M7" i="12761" s="1"/>
  <c r="N7" i="12761" s="1"/>
  <c r="O8" i="12761"/>
  <c r="R8" i="12761" s="1"/>
  <c r="O9" i="12761"/>
  <c r="R9" i="12761" s="1"/>
  <c r="O10" i="12761"/>
  <c r="R10" i="12761" s="1"/>
  <c r="O11" i="12761"/>
  <c r="R11" i="12761" s="1"/>
  <c r="O12" i="12761"/>
  <c r="R12" i="12761" s="1"/>
  <c r="O13" i="12761"/>
  <c r="R13" i="12761" s="1"/>
  <c r="O14" i="12761"/>
  <c r="R14" i="12761" s="1"/>
  <c r="O15" i="12761"/>
  <c r="R15" i="12761" s="1"/>
  <c r="O16" i="12761"/>
  <c r="O17" i="12761"/>
  <c r="O18" i="12761"/>
  <c r="O19" i="12761"/>
  <c r="O20" i="12761"/>
  <c r="O21" i="12761"/>
  <c r="O22" i="12761"/>
  <c r="O23" i="12761"/>
  <c r="O24" i="12761"/>
  <c r="R24" i="12761" s="1"/>
  <c r="O25" i="12761"/>
  <c r="R25" i="12761" s="1"/>
  <c r="O26" i="12761"/>
  <c r="R26" i="12761" s="1"/>
  <c r="O27" i="12761"/>
  <c r="R27" i="12761" s="1"/>
  <c r="O28" i="12761"/>
  <c r="O29" i="12761"/>
  <c r="O30" i="12761"/>
  <c r="O31" i="12761"/>
  <c r="C33" i="12761"/>
  <c r="D33" i="12761"/>
  <c r="E33" i="12761"/>
  <c r="F33" i="12761"/>
  <c r="G33" i="12761"/>
  <c r="H33" i="12761"/>
  <c r="I33" i="12761"/>
  <c r="J33" i="12761"/>
  <c r="K33" i="12761"/>
  <c r="L33" i="12761"/>
  <c r="M33" i="12761"/>
  <c r="N33" i="12761"/>
  <c r="E35" i="12761"/>
  <c r="F35" i="12761" s="1"/>
  <c r="G35" i="12761" s="1"/>
  <c r="H35" i="12761" s="1"/>
  <c r="J35" i="12761"/>
  <c r="K35" i="12761" s="1"/>
  <c r="L35" i="12761" s="1"/>
  <c r="M35" i="12761" s="1"/>
  <c r="N35" i="12761" s="1"/>
  <c r="O36" i="12761"/>
  <c r="R36" i="12761" s="1"/>
  <c r="O37" i="12761"/>
  <c r="R37" i="12761" s="1"/>
  <c r="O38" i="12761"/>
  <c r="R38" i="12761" s="1"/>
  <c r="O39" i="12761"/>
  <c r="R39" i="12761" s="1"/>
  <c r="O40" i="12761"/>
  <c r="R40" i="12761" s="1"/>
  <c r="O41" i="12761"/>
  <c r="R41" i="12761" s="1"/>
  <c r="O42" i="12761"/>
  <c r="R42" i="12761" s="1"/>
  <c r="O43" i="12761"/>
  <c r="R43" i="12761" s="1"/>
  <c r="O44" i="12761"/>
  <c r="R44" i="12761" s="1"/>
  <c r="O45" i="12761"/>
  <c r="O46" i="12761"/>
  <c r="R46" i="12761" s="1"/>
  <c r="O47" i="12761"/>
  <c r="R47" i="12761" s="1"/>
  <c r="O48" i="12761"/>
  <c r="R48" i="12761" s="1"/>
  <c r="C54" i="12761"/>
  <c r="D54" i="12761"/>
  <c r="E54" i="12761"/>
  <c r="F54" i="12761"/>
  <c r="G54" i="12761"/>
  <c r="H54" i="12761"/>
  <c r="I54" i="12761"/>
  <c r="J54" i="12761"/>
  <c r="K54" i="12761"/>
  <c r="L54" i="12761"/>
  <c r="M54" i="12761"/>
  <c r="N54" i="12761"/>
  <c r="E56" i="12761"/>
  <c r="F56" i="12761" s="1"/>
  <c r="G56" i="12761" s="1"/>
  <c r="H56" i="12761" s="1"/>
  <c r="J56" i="12761"/>
  <c r="K56" i="12761" s="1"/>
  <c r="L56" i="12761" s="1"/>
  <c r="M56" i="12761" s="1"/>
  <c r="N56" i="12761" s="1"/>
  <c r="O57" i="12761"/>
  <c r="R57" i="12761" s="1"/>
  <c r="O58" i="12761"/>
  <c r="R58" i="12761" s="1"/>
  <c r="O59" i="12761"/>
  <c r="O60" i="12761"/>
  <c r="O61" i="12761"/>
  <c r="O62" i="12761"/>
  <c r="O63" i="12761"/>
  <c r="O64" i="12761"/>
  <c r="O65" i="12761"/>
  <c r="O66" i="12761"/>
  <c r="O67" i="12761"/>
  <c r="O68" i="12761"/>
  <c r="C69" i="12761"/>
  <c r="G69" i="12761" s="1"/>
  <c r="E71" i="12761"/>
  <c r="F71" i="12761" s="1"/>
  <c r="G71" i="12761" s="1"/>
  <c r="H71" i="12761" s="1"/>
  <c r="J71" i="12761"/>
  <c r="K71" i="12761" s="1"/>
  <c r="L71" i="12761" s="1"/>
  <c r="M71" i="12761" s="1"/>
  <c r="N71" i="12761" s="1"/>
  <c r="O72" i="12761"/>
  <c r="O73" i="12761"/>
  <c r="R73" i="12761" s="1"/>
  <c r="O74" i="12761"/>
  <c r="R74" i="12761" s="1"/>
  <c r="O75" i="12761"/>
  <c r="R75" i="12761" s="1"/>
  <c r="O76" i="12761"/>
  <c r="R76" i="12761" s="1"/>
  <c r="O77" i="12761"/>
  <c r="R77" i="12761" s="1"/>
  <c r="C81" i="12761"/>
  <c r="D81" i="12761"/>
  <c r="E81" i="12761"/>
  <c r="F81" i="12761"/>
  <c r="G81" i="12761"/>
  <c r="H81" i="12761"/>
  <c r="I81" i="12761"/>
  <c r="J81" i="12761"/>
  <c r="K81" i="12761"/>
  <c r="L81" i="12761"/>
  <c r="M81" i="12761"/>
  <c r="N81" i="12761"/>
  <c r="E83" i="12761"/>
  <c r="F83" i="12761" s="1"/>
  <c r="G83" i="12761" s="1"/>
  <c r="H83" i="12761" s="1"/>
  <c r="J83" i="12761"/>
  <c r="K83" i="12761" s="1"/>
  <c r="L83" i="12761" s="1"/>
  <c r="M83" i="12761" s="1"/>
  <c r="N83" i="12761" s="1"/>
  <c r="O84" i="12761"/>
  <c r="O85" i="12761"/>
  <c r="O86" i="12761"/>
  <c r="O87" i="12761"/>
  <c r="R87" i="12761" s="1"/>
  <c r="O88" i="12761"/>
  <c r="R88" i="12761" s="1"/>
  <c r="O89" i="12761"/>
  <c r="R89" i="12761" s="1"/>
  <c r="O90" i="12761"/>
  <c r="R90" i="12761" s="1"/>
  <c r="O91" i="12761"/>
  <c r="O92" i="12761"/>
  <c r="O93" i="12761"/>
  <c r="O94" i="12761"/>
  <c r="O95" i="12761"/>
  <c r="C97" i="12761"/>
  <c r="D97" i="12761"/>
  <c r="E97" i="12761"/>
  <c r="F97" i="12761"/>
  <c r="G97" i="12761"/>
  <c r="H97" i="12761"/>
  <c r="I97" i="12761"/>
  <c r="J97" i="12761"/>
  <c r="K97" i="12761"/>
  <c r="L97" i="12761"/>
  <c r="M97" i="12761"/>
  <c r="N97" i="12761"/>
  <c r="O81" i="12761" l="1"/>
  <c r="O54" i="12761"/>
  <c r="O97" i="12761"/>
  <c r="O69" i="12761"/>
  <c r="O33" i="12761"/>
  <c r="R86" i="12761"/>
  <c r="R97" i="12761" s="1"/>
  <c r="O99" i="12761" l="1"/>
  <c r="C54" i="12763"/>
  <c r="E4" i="12830"/>
  <c r="Q33" i="12820" s="1"/>
  <c r="E5" i="12830"/>
  <c r="S74" i="12821" s="1"/>
  <c r="U114" i="12821" s="1"/>
  <c r="E8" i="12830"/>
  <c r="S63" i="12822" s="1"/>
  <c r="E16" i="12830"/>
  <c r="G54" i="12827" s="1"/>
  <c r="C130" i="12833" l="1"/>
  <c r="F36" i="12834"/>
  <c r="F10" i="12834" s="1"/>
  <c r="W10" i="12834" s="1"/>
  <c r="F33" i="12834"/>
  <c r="F35" i="12834"/>
  <c r="F9" i="12834" s="1"/>
  <c r="W9" i="12834" s="1"/>
  <c r="F34" i="12834"/>
  <c r="S128" i="12822"/>
  <c r="V165" i="12822"/>
  <c r="U165" i="12822"/>
  <c r="U102" i="12822"/>
  <c r="V102" i="12822"/>
  <c r="U191" i="12821"/>
  <c r="V191" i="12821"/>
  <c r="T148" i="12821"/>
  <c r="S148" i="12821"/>
  <c r="V114" i="12821"/>
  <c r="Q57" i="12820"/>
  <c r="R57" i="12820"/>
  <c r="H156" i="12827"/>
  <c r="G156" i="12827"/>
  <c r="G105" i="12827"/>
  <c r="T128" i="12822"/>
  <c r="R21" i="12818"/>
  <c r="Q21" i="12818" s="1"/>
  <c r="R20" i="12818"/>
  <c r="Q20" i="12818" s="1"/>
  <c r="H105" i="12827"/>
  <c r="R18" i="12818"/>
  <c r="Q18" i="12818" s="1"/>
  <c r="R19" i="12818"/>
  <c r="F15" i="12834" l="1"/>
  <c r="F40" i="12834"/>
  <c r="F8" i="12834"/>
  <c r="W8" i="12834" s="1"/>
  <c r="T191" i="12822"/>
  <c r="S191" i="12822"/>
  <c r="S165" i="12822"/>
  <c r="Q81" i="12820"/>
  <c r="T225" i="12821"/>
  <c r="S225" i="12821"/>
  <c r="S191" i="12821"/>
  <c r="S114" i="12821"/>
  <c r="R81" i="12820"/>
  <c r="Q19" i="12818"/>
  <c r="Q25" i="12818" s="1"/>
  <c r="Q89" i="12818" s="1"/>
  <c r="R25" i="12818"/>
  <c r="R89" i="12818" s="1"/>
  <c r="S98" i="12822"/>
  <c r="W110" i="12822" s="1"/>
  <c r="S110" i="12822" s="1"/>
  <c r="S99" i="12822"/>
  <c r="S100" i="12822"/>
  <c r="W112" i="12822" s="1"/>
  <c r="S112" i="12822" s="1"/>
  <c r="S101" i="12822"/>
  <c r="W113" i="12822" s="1"/>
  <c r="S113" i="12822" s="1"/>
  <c r="S102" i="12822"/>
  <c r="S126" i="12822" l="1"/>
  <c r="S150" i="12822"/>
  <c r="S138" i="12822"/>
  <c r="S127" i="12822"/>
  <c r="S151" i="12822"/>
  <c r="S139" i="12822"/>
  <c r="S136" i="12822"/>
  <c r="S124" i="12822"/>
  <c r="S148" i="12822"/>
  <c r="V113" i="12822"/>
  <c r="T127" i="12822" s="1"/>
  <c r="V112" i="12822"/>
  <c r="T150" i="12822" s="1"/>
  <c r="V110" i="12822"/>
  <c r="W111" i="12822"/>
  <c r="S111" i="12822" s="1"/>
  <c r="T138" i="12822" l="1"/>
  <c r="T151" i="12822"/>
  <c r="T126" i="12822"/>
  <c r="T139" i="12822"/>
  <c r="Y175" i="12822"/>
  <c r="X175" i="12822"/>
  <c r="X173" i="12822"/>
  <c r="Y173" i="12822"/>
  <c r="Y176" i="12822"/>
  <c r="X176" i="12822"/>
  <c r="S137" i="12822"/>
  <c r="S149" i="12822"/>
  <c r="S125" i="12822"/>
  <c r="T124" i="12822"/>
  <c r="T136" i="12822"/>
  <c r="T148" i="12822"/>
  <c r="V111" i="12822"/>
  <c r="T125" i="12822" s="1"/>
  <c r="S175" i="12822" l="1"/>
  <c r="S189" i="12822" s="1"/>
  <c r="S176" i="12822"/>
  <c r="S190" i="12822" s="1"/>
  <c r="S173" i="12822"/>
  <c r="T149" i="12822"/>
  <c r="V176" i="12822"/>
  <c r="T202" i="12822" s="1"/>
  <c r="V175" i="12822"/>
  <c r="T201" i="12822" s="1"/>
  <c r="V173" i="12822"/>
  <c r="Y174" i="12822"/>
  <c r="X174" i="12822"/>
  <c r="T137" i="12822"/>
  <c r="S202" i="12822" l="1"/>
  <c r="S174" i="12822"/>
  <c r="S188" i="12822" s="1"/>
  <c r="S214" i="12822"/>
  <c r="T190" i="12822"/>
  <c r="S201" i="12822"/>
  <c r="S213" i="12822"/>
  <c r="S199" i="12822"/>
  <c r="S187" i="12822"/>
  <c r="S211" i="12822"/>
  <c r="T189" i="12822"/>
  <c r="T214" i="12822"/>
  <c r="T213" i="12822"/>
  <c r="T211" i="12822"/>
  <c r="T187" i="12822"/>
  <c r="T199" i="12822"/>
  <c r="V174" i="12822"/>
  <c r="S200" i="12822" l="1"/>
  <c r="S212" i="12822"/>
  <c r="T212" i="12822"/>
  <c r="T200" i="12822"/>
  <c r="T188" i="12822"/>
  <c r="F19" i="12834" l="1"/>
  <c r="W14" i="12834" s="1"/>
  <c r="F25" i="12834" l="1"/>
  <c r="F73" i="12834"/>
  <c r="T113" i="12825"/>
  <c r="W121" i="12825"/>
  <c r="W129" i="12825"/>
  <c r="W138" i="12825"/>
  <c r="W146" i="12825"/>
  <c r="W15" i="12834" l="1"/>
  <c r="W89" i="12818"/>
  <c r="E20" i="12835" l="1"/>
  <c r="L111" i="12833"/>
  <c r="M111" i="12833"/>
  <c r="N111" i="12833"/>
  <c r="O111" i="12833"/>
  <c r="P111" i="12833"/>
  <c r="Q111" i="12833"/>
  <c r="R111" i="12833"/>
  <c r="S111" i="12833"/>
  <c r="U111" i="12833"/>
  <c r="V111" i="12833"/>
  <c r="W111" i="12833"/>
  <c r="X111" i="12833"/>
  <c r="Y111" i="12833"/>
  <c r="Z111" i="12833"/>
  <c r="AA111" i="12833"/>
  <c r="AB111" i="12833"/>
  <c r="L112" i="12833"/>
  <c r="M112" i="12833"/>
  <c r="N112" i="12833"/>
  <c r="O112" i="12833"/>
  <c r="P112" i="12833"/>
  <c r="Q112" i="12833"/>
  <c r="R112" i="12833"/>
  <c r="S112" i="12833"/>
  <c r="U112" i="12833"/>
  <c r="V112" i="12833"/>
  <c r="W112" i="12833"/>
  <c r="X112" i="12833"/>
  <c r="Y112" i="12833"/>
  <c r="Z112" i="12833"/>
  <c r="AA112" i="12833"/>
  <c r="AB112" i="12833"/>
  <c r="L113" i="12833"/>
  <c r="M113" i="12833"/>
  <c r="N113" i="12833"/>
  <c r="O113" i="12833"/>
  <c r="P113" i="12833"/>
  <c r="Q113" i="12833"/>
  <c r="R113" i="12833"/>
  <c r="S113" i="12833"/>
  <c r="U113" i="12833"/>
  <c r="V113" i="12833"/>
  <c r="W113" i="12833"/>
  <c r="X113" i="12833"/>
  <c r="Y113" i="12833"/>
  <c r="Z113" i="12833"/>
  <c r="AA113" i="12833"/>
  <c r="AB113" i="12833"/>
  <c r="L114" i="12833"/>
  <c r="M114" i="12833"/>
  <c r="N114" i="12833"/>
  <c r="O114" i="12833"/>
  <c r="P114" i="12833"/>
  <c r="Q114" i="12833"/>
  <c r="R114" i="12833"/>
  <c r="S114" i="12833"/>
  <c r="U114" i="12833"/>
  <c r="V114" i="12833"/>
  <c r="W114" i="12833"/>
  <c r="X114" i="12833"/>
  <c r="Y114" i="12833"/>
  <c r="Z114" i="12833"/>
  <c r="AA114" i="12833"/>
  <c r="AB114" i="12833"/>
  <c r="L115" i="12833"/>
  <c r="M115" i="12833"/>
  <c r="N115" i="12833"/>
  <c r="O115" i="12833"/>
  <c r="P115" i="12833"/>
  <c r="Q115" i="12833"/>
  <c r="R115" i="12833"/>
  <c r="S115" i="12833"/>
  <c r="U115" i="12833"/>
  <c r="V115" i="12833"/>
  <c r="W115" i="12833"/>
  <c r="X115" i="12833"/>
  <c r="Y115" i="12833"/>
  <c r="Z115" i="12833"/>
  <c r="AA115" i="12833"/>
  <c r="AB115" i="12833"/>
  <c r="L116" i="12833"/>
  <c r="M116" i="12833"/>
  <c r="N116" i="12833"/>
  <c r="O116" i="12833"/>
  <c r="P116" i="12833"/>
  <c r="Q116" i="12833"/>
  <c r="R116" i="12833"/>
  <c r="S116" i="12833"/>
  <c r="U116" i="12833"/>
  <c r="V116" i="12833"/>
  <c r="W116" i="12833"/>
  <c r="X116" i="12833"/>
  <c r="Y116" i="12833"/>
  <c r="Z116" i="12833"/>
  <c r="AA116" i="12833"/>
  <c r="AB116" i="12833"/>
  <c r="L117" i="12833"/>
  <c r="M117" i="12833"/>
  <c r="N117" i="12833"/>
  <c r="O117" i="12833"/>
  <c r="P117" i="12833"/>
  <c r="Q117" i="12833"/>
  <c r="R117" i="12833"/>
  <c r="S117" i="12833"/>
  <c r="U117" i="12833"/>
  <c r="V117" i="12833"/>
  <c r="W117" i="12833"/>
  <c r="X117" i="12833"/>
  <c r="Y117" i="12833"/>
  <c r="Z117" i="12833"/>
  <c r="AA117" i="12833"/>
  <c r="AB117" i="12833"/>
  <c r="L118" i="12833"/>
  <c r="M118" i="12833"/>
  <c r="N118" i="12833"/>
  <c r="O118" i="12833"/>
  <c r="P118" i="12833"/>
  <c r="Q118" i="12833"/>
  <c r="R118" i="12833"/>
  <c r="S118" i="12833"/>
  <c r="U118" i="12833"/>
  <c r="V118" i="12833"/>
  <c r="W118" i="12833"/>
  <c r="X118" i="12833"/>
  <c r="Y118" i="12833"/>
  <c r="Z118" i="12833"/>
  <c r="AA118" i="12833"/>
  <c r="AB118" i="12833"/>
  <c r="L119" i="12833"/>
  <c r="M119" i="12833"/>
  <c r="N119" i="12833"/>
  <c r="O119" i="12833"/>
  <c r="P119" i="12833"/>
  <c r="Q119" i="12833"/>
  <c r="R119" i="12833"/>
  <c r="S119" i="12833"/>
  <c r="U119" i="12833"/>
  <c r="V119" i="12833"/>
  <c r="W119" i="12833"/>
  <c r="X119" i="12833"/>
  <c r="Y119" i="12833"/>
  <c r="Z119" i="12833"/>
  <c r="AA119" i="12833"/>
  <c r="AB119" i="12833"/>
  <c r="L120" i="12833"/>
  <c r="M120" i="12833"/>
  <c r="N120" i="12833"/>
  <c r="O120" i="12833"/>
  <c r="P120" i="12833"/>
  <c r="Q120" i="12833"/>
  <c r="R120" i="12833"/>
  <c r="S120" i="12833"/>
  <c r="U120" i="12833"/>
  <c r="V120" i="12833"/>
  <c r="W120" i="12833"/>
  <c r="X120" i="12833"/>
  <c r="Y120" i="12833"/>
  <c r="Z120" i="12833"/>
  <c r="AA120" i="12833"/>
  <c r="AB120" i="12833"/>
  <c r="L121" i="12833"/>
  <c r="M121" i="12833"/>
  <c r="N121" i="12833"/>
  <c r="O121" i="12833"/>
  <c r="P121" i="12833"/>
  <c r="Q121" i="12833"/>
  <c r="R121" i="12833"/>
  <c r="S121" i="12833"/>
  <c r="U121" i="12833"/>
  <c r="V121" i="12833"/>
  <c r="W121" i="12833"/>
  <c r="X121" i="12833"/>
  <c r="Y121" i="12833"/>
  <c r="Z121" i="12833"/>
  <c r="AA121" i="12833"/>
  <c r="AB121" i="12833"/>
  <c r="M123" i="12833"/>
  <c r="N123" i="12833"/>
  <c r="O123" i="12833"/>
  <c r="P123" i="12833"/>
  <c r="Q123" i="12833"/>
  <c r="V123" i="12833"/>
  <c r="W123" i="12833"/>
  <c r="X123" i="12833"/>
  <c r="Y123" i="12833"/>
  <c r="Z123" i="12833"/>
  <c r="N124" i="12833"/>
  <c r="O124" i="12833"/>
  <c r="P124" i="12833"/>
  <c r="Q124" i="12833"/>
  <c r="W124" i="12833"/>
  <c r="X124" i="12833"/>
  <c r="Y124" i="12833"/>
  <c r="Z124" i="12833"/>
  <c r="N125" i="12833"/>
  <c r="O125" i="12833"/>
  <c r="P125" i="12833"/>
  <c r="Q125" i="12833"/>
  <c r="W125" i="12833"/>
  <c r="X125" i="12833"/>
  <c r="Y125" i="12833"/>
  <c r="Z125" i="12833"/>
  <c r="N126" i="12833"/>
  <c r="O126" i="12833"/>
  <c r="P126" i="12833"/>
  <c r="Q126" i="12833"/>
  <c r="W126" i="12833"/>
  <c r="X126" i="12833"/>
  <c r="Y126" i="12833"/>
  <c r="Z126" i="12833"/>
  <c r="L128" i="12833"/>
  <c r="M128" i="12833"/>
  <c r="N128" i="12833"/>
  <c r="O128" i="12833"/>
  <c r="P128" i="12833"/>
  <c r="Q128" i="12833"/>
  <c r="R128" i="12833"/>
  <c r="S128" i="12833"/>
  <c r="T128" i="12833"/>
  <c r="U128" i="12833"/>
  <c r="V128" i="12833"/>
  <c r="W128" i="12833"/>
  <c r="X128" i="12833"/>
  <c r="Y128" i="12833"/>
  <c r="Z128" i="12833"/>
  <c r="AA128" i="12833"/>
  <c r="AB128" i="12833"/>
  <c r="AC128" i="12833"/>
  <c r="AE128" i="12833"/>
  <c r="G82" i="12827"/>
  <c r="G83" i="12827"/>
  <c r="J83" i="12827"/>
  <c r="K83" i="12827"/>
  <c r="G84" i="12827"/>
  <c r="J84" i="12827"/>
  <c r="K84" i="12827"/>
  <c r="G85" i="12827"/>
  <c r="J85" i="12827"/>
  <c r="K85" i="12827"/>
  <c r="G86" i="12827"/>
  <c r="J86" i="12827"/>
  <c r="K86" i="12827"/>
  <c r="G87" i="12827"/>
  <c r="J87" i="12827"/>
  <c r="K87" i="12827"/>
  <c r="G88" i="12827"/>
  <c r="J88" i="12827"/>
  <c r="K88" i="12827"/>
  <c r="G89" i="12827"/>
  <c r="J89" i="12827"/>
  <c r="K89" i="12827"/>
  <c r="G90" i="12827"/>
  <c r="J90" i="12827"/>
  <c r="K90" i="12827"/>
  <c r="G91" i="12827"/>
  <c r="J91" i="12827"/>
  <c r="K91" i="12827"/>
  <c r="G92" i="12827"/>
  <c r="J92" i="12827"/>
  <c r="K92" i="12827"/>
  <c r="G93" i="12827"/>
  <c r="J93" i="12827"/>
  <c r="K93" i="12827"/>
  <c r="G94" i="12827"/>
  <c r="J94" i="12827"/>
  <c r="K94" i="12827"/>
  <c r="G95" i="12827"/>
  <c r="J95" i="12827"/>
  <c r="K95" i="12827"/>
  <c r="G96" i="12827"/>
  <c r="J96" i="12827"/>
  <c r="K96" i="12827"/>
  <c r="G97" i="12827"/>
  <c r="J97" i="12827"/>
  <c r="K97" i="12827"/>
  <c r="G98" i="12827"/>
  <c r="J98" i="12827"/>
  <c r="K98" i="12827"/>
  <c r="G99" i="12827"/>
  <c r="J99" i="12827"/>
  <c r="K99" i="12827"/>
  <c r="G100" i="12827"/>
  <c r="J100" i="12827"/>
  <c r="K100" i="12827"/>
  <c r="G101" i="12827"/>
  <c r="J101" i="12827"/>
  <c r="K101" i="12827"/>
  <c r="G102" i="12827"/>
  <c r="H102" i="12827"/>
  <c r="G103" i="12827"/>
  <c r="H103" i="12827"/>
  <c r="G104" i="12827"/>
  <c r="H104" i="12827"/>
  <c r="G106" i="12827"/>
  <c r="H106" i="12827"/>
  <c r="G107" i="12827"/>
  <c r="H107" i="12827"/>
  <c r="G108" i="12827"/>
  <c r="H108" i="12827"/>
  <c r="G110" i="12827"/>
  <c r="H110" i="12827"/>
  <c r="G111" i="12827"/>
  <c r="H111" i="12827"/>
  <c r="G112" i="12827"/>
  <c r="H112" i="12827"/>
  <c r="G114" i="12827"/>
  <c r="H114" i="12827"/>
  <c r="G115" i="12827"/>
  <c r="H115" i="12827"/>
  <c r="G116" i="12827"/>
  <c r="H116" i="12827"/>
  <c r="G117" i="12827"/>
  <c r="H117" i="12827"/>
  <c r="G118" i="12827"/>
  <c r="H118" i="12827"/>
  <c r="G119" i="12827"/>
  <c r="H119" i="12827"/>
  <c r="G120" i="12827"/>
  <c r="H120" i="12827"/>
  <c r="G121" i="12827"/>
  <c r="H121" i="12827"/>
  <c r="G122" i="12827"/>
  <c r="H122" i="12827"/>
  <c r="G123" i="12827"/>
  <c r="H123" i="12827"/>
  <c r="G124" i="12827"/>
  <c r="H124" i="12827"/>
  <c r="G125" i="12827"/>
  <c r="H125" i="12827"/>
  <c r="G127" i="12827"/>
  <c r="H127" i="12827"/>
  <c r="G129" i="12827"/>
  <c r="H129" i="12827"/>
  <c r="G130" i="12827"/>
  <c r="H130" i="12827"/>
  <c r="G131" i="12827"/>
  <c r="H131" i="12827"/>
  <c r="G133" i="12827"/>
  <c r="G134" i="12827"/>
  <c r="J134" i="12827"/>
  <c r="K134" i="12827"/>
  <c r="G135" i="12827"/>
  <c r="J135" i="12827"/>
  <c r="K135" i="12827"/>
  <c r="G136" i="12827"/>
  <c r="J136" i="12827"/>
  <c r="K136" i="12827"/>
  <c r="G137" i="12827"/>
  <c r="J137" i="12827"/>
  <c r="K137" i="12827"/>
  <c r="G138" i="12827"/>
  <c r="J138" i="12827"/>
  <c r="K138" i="12827"/>
  <c r="G139" i="12827"/>
  <c r="J139" i="12827"/>
  <c r="K139" i="12827"/>
  <c r="G140" i="12827"/>
  <c r="J140" i="12827"/>
  <c r="K140" i="12827"/>
  <c r="G141" i="12827"/>
  <c r="J141" i="12827"/>
  <c r="K141" i="12827"/>
  <c r="G142" i="12827"/>
  <c r="J142" i="12827"/>
  <c r="K142" i="12827"/>
  <c r="G143" i="12827"/>
  <c r="J143" i="12827"/>
  <c r="K143" i="12827"/>
  <c r="G144" i="12827"/>
  <c r="J144" i="12827"/>
  <c r="K144" i="12827"/>
  <c r="G145" i="12827"/>
  <c r="J145" i="12827"/>
  <c r="K145" i="12827"/>
  <c r="G146" i="12827"/>
  <c r="J146" i="12827"/>
  <c r="K146" i="12827"/>
  <c r="G147" i="12827"/>
  <c r="J147" i="12827"/>
  <c r="K147" i="12827"/>
  <c r="G148" i="12827"/>
  <c r="J148" i="12827"/>
  <c r="K148" i="12827"/>
  <c r="G149" i="12827"/>
  <c r="J149" i="12827"/>
  <c r="K149" i="12827"/>
  <c r="G150" i="12827"/>
  <c r="J150" i="12827"/>
  <c r="K150" i="12827"/>
  <c r="G151" i="12827"/>
  <c r="J151" i="12827"/>
  <c r="K151" i="12827"/>
  <c r="G152" i="12827"/>
  <c r="J152" i="12827"/>
  <c r="K152" i="12827"/>
  <c r="G153" i="12827"/>
  <c r="H153" i="12827"/>
  <c r="G154" i="12827"/>
  <c r="H154" i="12827"/>
  <c r="G155" i="12827"/>
  <c r="H155" i="12827"/>
  <c r="G157" i="12827"/>
  <c r="H157" i="12827"/>
  <c r="G158" i="12827"/>
  <c r="H158" i="12827"/>
  <c r="G159" i="12827"/>
  <c r="H159" i="12827"/>
  <c r="G161" i="12827"/>
  <c r="H161" i="12827"/>
  <c r="G162" i="12827"/>
  <c r="H162" i="12827"/>
  <c r="G163" i="12827"/>
  <c r="H163" i="12827"/>
  <c r="G165" i="12827"/>
  <c r="H165" i="12827"/>
  <c r="G166" i="12827"/>
  <c r="H166" i="12827"/>
  <c r="G167" i="12827"/>
  <c r="H167" i="12827"/>
  <c r="G168" i="12827"/>
  <c r="H168" i="12827"/>
  <c r="G169" i="12827"/>
  <c r="H169" i="12827"/>
  <c r="G170" i="12827"/>
  <c r="H170" i="12827"/>
  <c r="G171" i="12827"/>
  <c r="H171" i="12827"/>
  <c r="G172" i="12827"/>
  <c r="H172" i="12827"/>
  <c r="G173" i="12827"/>
  <c r="H173" i="12827"/>
  <c r="G174" i="12827"/>
  <c r="H174" i="12827"/>
  <c r="G175" i="12827"/>
  <c r="H175" i="12827"/>
  <c r="G176" i="12827"/>
  <c r="H176" i="12827"/>
  <c r="G178" i="12827"/>
  <c r="H178" i="12827"/>
  <c r="G180" i="12827"/>
  <c r="H180" i="12827"/>
  <c r="G181" i="12827"/>
  <c r="H181" i="12827"/>
  <c r="G182" i="12827"/>
  <c r="H182" i="12827"/>
  <c r="I186" i="12827"/>
  <c r="I187" i="12827"/>
  <c r="D8" i="12835"/>
  <c r="F8" i="12835"/>
  <c r="G8" i="12835"/>
  <c r="H8" i="12835"/>
  <c r="I8" i="12835"/>
  <c r="J8" i="12835"/>
  <c r="K8" i="12835"/>
  <c r="L8" i="12835"/>
  <c r="M8" i="12835"/>
  <c r="N8" i="12835"/>
  <c r="O8" i="12835"/>
  <c r="P8" i="12835"/>
  <c r="D9" i="12835"/>
  <c r="F9" i="12835"/>
  <c r="G9" i="12835"/>
  <c r="H9" i="12835"/>
  <c r="I9" i="12835"/>
  <c r="J9" i="12835"/>
  <c r="K9" i="12835"/>
  <c r="L9" i="12835"/>
  <c r="M9" i="12835"/>
  <c r="N9" i="12835"/>
  <c r="O9" i="12835"/>
  <c r="P9" i="12835"/>
  <c r="D10" i="12835"/>
  <c r="F10" i="12835"/>
  <c r="G10" i="12835"/>
  <c r="H10" i="12835"/>
  <c r="I10" i="12835"/>
  <c r="J10" i="12835"/>
  <c r="K10" i="12835"/>
  <c r="L10" i="12835"/>
  <c r="M10" i="12835"/>
  <c r="N10" i="12835"/>
  <c r="O10" i="12835"/>
  <c r="P10" i="12835"/>
  <c r="D11" i="12835"/>
  <c r="F11" i="12835"/>
  <c r="G11" i="12835"/>
  <c r="H11" i="12835"/>
  <c r="I11" i="12835"/>
  <c r="J11" i="12835"/>
  <c r="K11" i="12835"/>
  <c r="L11" i="12835"/>
  <c r="M11" i="12835"/>
  <c r="N11" i="12835"/>
  <c r="O11" i="12835"/>
  <c r="P11" i="12835"/>
  <c r="F20" i="12835"/>
  <c r="G20" i="12835"/>
  <c r="H20" i="12835"/>
  <c r="K20" i="12835"/>
  <c r="L20" i="12835"/>
  <c r="M20" i="12835"/>
  <c r="N20" i="12835"/>
  <c r="O20" i="12835"/>
  <c r="P20" i="12835"/>
  <c r="E8" i="12820"/>
  <c r="F8" i="12820"/>
  <c r="G8" i="12820"/>
  <c r="H8" i="12820"/>
  <c r="I8" i="12820"/>
  <c r="J8" i="12820"/>
  <c r="K8" i="12820"/>
  <c r="E9" i="12820"/>
  <c r="F9" i="12820"/>
  <c r="G9" i="12820"/>
  <c r="H9" i="12820"/>
  <c r="I9" i="12820"/>
  <c r="J9" i="12820"/>
  <c r="K9" i="12820"/>
  <c r="E10" i="12820"/>
  <c r="F10" i="12820"/>
  <c r="G10" i="12820"/>
  <c r="H10" i="12820"/>
  <c r="I10" i="12820"/>
  <c r="J10" i="12820"/>
  <c r="K10" i="12820"/>
  <c r="E11" i="12820"/>
  <c r="F11" i="12820"/>
  <c r="G11" i="12820"/>
  <c r="H11" i="12820"/>
  <c r="I11" i="12820"/>
  <c r="J11" i="12820"/>
  <c r="K11" i="12820"/>
  <c r="E12" i="12820"/>
  <c r="F12" i="12820"/>
  <c r="G12" i="12820"/>
  <c r="H12" i="12820"/>
  <c r="I12" i="12820"/>
  <c r="J12" i="12820"/>
  <c r="K12" i="12820"/>
  <c r="E13" i="12820"/>
  <c r="F13" i="12820"/>
  <c r="G13" i="12820"/>
  <c r="H13" i="12820"/>
  <c r="I13" i="12820"/>
  <c r="J13" i="12820"/>
  <c r="K13" i="12820"/>
  <c r="E14" i="12820"/>
  <c r="F14" i="12820"/>
  <c r="G14" i="12820"/>
  <c r="H14" i="12820"/>
  <c r="I14" i="12820"/>
  <c r="J14" i="12820"/>
  <c r="K14" i="12820"/>
  <c r="E15" i="12820"/>
  <c r="F15" i="12820"/>
  <c r="G15" i="12820"/>
  <c r="H15" i="12820"/>
  <c r="I15" i="12820"/>
  <c r="J15" i="12820"/>
  <c r="K15" i="12820"/>
  <c r="E16" i="12820"/>
  <c r="F16" i="12820"/>
  <c r="G16" i="12820"/>
  <c r="H16" i="12820"/>
  <c r="I16" i="12820"/>
  <c r="J16" i="12820"/>
  <c r="K16" i="12820"/>
  <c r="E17" i="12820"/>
  <c r="F17" i="12820"/>
  <c r="G17" i="12820"/>
  <c r="H17" i="12820"/>
  <c r="I17" i="12820"/>
  <c r="J17" i="12820"/>
  <c r="K17" i="12820"/>
  <c r="E18" i="12820"/>
  <c r="F18" i="12820"/>
  <c r="G18" i="12820"/>
  <c r="H18" i="12820"/>
  <c r="I18" i="12820"/>
  <c r="J18" i="12820"/>
  <c r="K18" i="12820"/>
  <c r="E19" i="12820"/>
  <c r="F19" i="12820"/>
  <c r="G19" i="12820"/>
  <c r="H19" i="12820"/>
  <c r="I19" i="12820"/>
  <c r="J19" i="12820"/>
  <c r="K19" i="12820"/>
  <c r="E20" i="12820"/>
  <c r="F20" i="12820"/>
  <c r="G20" i="12820"/>
  <c r="H20" i="12820"/>
  <c r="I20" i="12820"/>
  <c r="J20" i="12820"/>
  <c r="K20" i="12820"/>
  <c r="E21" i="12820"/>
  <c r="F21" i="12820"/>
  <c r="G21" i="12820"/>
  <c r="H21" i="12820"/>
  <c r="I21" i="12820"/>
  <c r="J21" i="12820"/>
  <c r="K21" i="12820"/>
  <c r="E22" i="12820"/>
  <c r="F22" i="12820"/>
  <c r="G22" i="12820"/>
  <c r="H22" i="12820"/>
  <c r="I22" i="12820"/>
  <c r="J22" i="12820"/>
  <c r="K22" i="12820"/>
  <c r="E23" i="12820"/>
  <c r="F23" i="12820"/>
  <c r="G23" i="12820"/>
  <c r="H23" i="12820"/>
  <c r="I23" i="12820"/>
  <c r="J23" i="12820"/>
  <c r="K23" i="12820"/>
  <c r="E24" i="12820"/>
  <c r="F24" i="12820"/>
  <c r="G24" i="12820"/>
  <c r="H24" i="12820"/>
  <c r="I24" i="12820"/>
  <c r="J24" i="12820"/>
  <c r="K24" i="12820"/>
  <c r="E25" i="12820"/>
  <c r="F25" i="12820"/>
  <c r="G25" i="12820"/>
  <c r="H25" i="12820"/>
  <c r="I25" i="12820"/>
  <c r="J25" i="12820"/>
  <c r="K25" i="12820"/>
  <c r="E26" i="12820"/>
  <c r="F26" i="12820"/>
  <c r="G26" i="12820"/>
  <c r="H26" i="12820"/>
  <c r="I26" i="12820"/>
  <c r="J26" i="12820"/>
  <c r="K26" i="12820"/>
  <c r="E27" i="12820"/>
  <c r="F27" i="12820"/>
  <c r="G27" i="12820"/>
  <c r="H27" i="12820"/>
  <c r="I27" i="12820"/>
  <c r="J27" i="12820"/>
  <c r="K27" i="12820"/>
  <c r="E28" i="12820"/>
  <c r="F28" i="12820"/>
  <c r="G28" i="12820"/>
  <c r="H28" i="12820"/>
  <c r="I28" i="12820"/>
  <c r="J28" i="12820"/>
  <c r="K28" i="12820"/>
  <c r="E33" i="12820"/>
  <c r="F33" i="12820"/>
  <c r="G33" i="12820"/>
  <c r="H33" i="12820"/>
  <c r="I33" i="12820"/>
  <c r="J33" i="12820"/>
  <c r="K33" i="12820"/>
  <c r="E34" i="12820"/>
  <c r="F34" i="12820"/>
  <c r="G34" i="12820"/>
  <c r="H34" i="12820"/>
  <c r="I34" i="12820"/>
  <c r="J34" i="12820"/>
  <c r="K34" i="12820"/>
  <c r="Q34" i="12820"/>
  <c r="E35" i="12820"/>
  <c r="F35" i="12820"/>
  <c r="G35" i="12820"/>
  <c r="H35" i="12820"/>
  <c r="I35" i="12820"/>
  <c r="J35" i="12820"/>
  <c r="K35" i="12820"/>
  <c r="E36" i="12820"/>
  <c r="F36" i="12820"/>
  <c r="G36" i="12820"/>
  <c r="H36" i="12820"/>
  <c r="I36" i="12820"/>
  <c r="J36" i="12820"/>
  <c r="K36" i="12820"/>
  <c r="E37" i="12820"/>
  <c r="F37" i="12820"/>
  <c r="G37" i="12820"/>
  <c r="H37" i="12820"/>
  <c r="I37" i="12820"/>
  <c r="J37" i="12820"/>
  <c r="K37" i="12820"/>
  <c r="E38" i="12820"/>
  <c r="F38" i="12820"/>
  <c r="G38" i="12820"/>
  <c r="H38" i="12820"/>
  <c r="I38" i="12820"/>
  <c r="J38" i="12820"/>
  <c r="K38" i="12820"/>
  <c r="E39" i="12820"/>
  <c r="F39" i="12820"/>
  <c r="G39" i="12820"/>
  <c r="H39" i="12820"/>
  <c r="I39" i="12820"/>
  <c r="J39" i="12820"/>
  <c r="K39" i="12820"/>
  <c r="E40" i="12820"/>
  <c r="F40" i="12820"/>
  <c r="G40" i="12820"/>
  <c r="H40" i="12820"/>
  <c r="I40" i="12820"/>
  <c r="J40" i="12820"/>
  <c r="K40" i="12820"/>
  <c r="Q40" i="12820"/>
  <c r="T40" i="12820"/>
  <c r="U40" i="12820"/>
  <c r="E41" i="12820"/>
  <c r="F41" i="12820"/>
  <c r="G41" i="12820"/>
  <c r="H41" i="12820"/>
  <c r="I41" i="12820"/>
  <c r="J41" i="12820"/>
  <c r="K41" i="12820"/>
  <c r="Q41" i="12820"/>
  <c r="T41" i="12820"/>
  <c r="U41" i="12820"/>
  <c r="Y41" i="12820"/>
  <c r="E42" i="12820"/>
  <c r="F42" i="12820"/>
  <c r="G42" i="12820"/>
  <c r="H42" i="12820"/>
  <c r="I42" i="12820"/>
  <c r="J42" i="12820"/>
  <c r="K42" i="12820"/>
  <c r="Q42" i="12820"/>
  <c r="T42" i="12820"/>
  <c r="U42" i="12820"/>
  <c r="E43" i="12820"/>
  <c r="F43" i="12820"/>
  <c r="G43" i="12820"/>
  <c r="H43" i="12820"/>
  <c r="I43" i="12820"/>
  <c r="J43" i="12820"/>
  <c r="K43" i="12820"/>
  <c r="Q43" i="12820"/>
  <c r="T43" i="12820"/>
  <c r="U43" i="12820"/>
  <c r="Y43" i="12820"/>
  <c r="E44" i="12820"/>
  <c r="F44" i="12820"/>
  <c r="G44" i="12820"/>
  <c r="H44" i="12820"/>
  <c r="I44" i="12820"/>
  <c r="J44" i="12820"/>
  <c r="K44" i="12820"/>
  <c r="Q44" i="12820"/>
  <c r="T44" i="12820"/>
  <c r="U44" i="12820"/>
  <c r="E45" i="12820"/>
  <c r="F45" i="12820"/>
  <c r="G45" i="12820"/>
  <c r="H45" i="12820"/>
  <c r="I45" i="12820"/>
  <c r="J45" i="12820"/>
  <c r="K45" i="12820"/>
  <c r="Q45" i="12820"/>
  <c r="T45" i="12820"/>
  <c r="U45" i="12820"/>
  <c r="E46" i="12820"/>
  <c r="F46" i="12820"/>
  <c r="G46" i="12820"/>
  <c r="H46" i="12820"/>
  <c r="I46" i="12820"/>
  <c r="J46" i="12820"/>
  <c r="K46" i="12820"/>
  <c r="Q46" i="12820"/>
  <c r="T46" i="12820"/>
  <c r="U46" i="12820"/>
  <c r="E47" i="12820"/>
  <c r="F47" i="12820"/>
  <c r="G47" i="12820"/>
  <c r="H47" i="12820"/>
  <c r="I47" i="12820"/>
  <c r="J47" i="12820"/>
  <c r="K47" i="12820"/>
  <c r="Q47" i="12820"/>
  <c r="T47" i="12820"/>
  <c r="U47" i="12820"/>
  <c r="E48" i="12820"/>
  <c r="F48" i="12820"/>
  <c r="G48" i="12820"/>
  <c r="H48" i="12820"/>
  <c r="I48" i="12820"/>
  <c r="J48" i="12820"/>
  <c r="K48" i="12820"/>
  <c r="E49" i="12820"/>
  <c r="F49" i="12820"/>
  <c r="G49" i="12820"/>
  <c r="H49" i="12820"/>
  <c r="I49" i="12820"/>
  <c r="J49" i="12820"/>
  <c r="K49" i="12820"/>
  <c r="E50" i="12820"/>
  <c r="F50" i="12820"/>
  <c r="G50" i="12820"/>
  <c r="H50" i="12820"/>
  <c r="I50" i="12820"/>
  <c r="J50" i="12820"/>
  <c r="K50" i="12820"/>
  <c r="E51" i="12820"/>
  <c r="F51" i="12820"/>
  <c r="G51" i="12820"/>
  <c r="H51" i="12820"/>
  <c r="I51" i="12820"/>
  <c r="J51" i="12820"/>
  <c r="K51" i="12820"/>
  <c r="E52" i="12820"/>
  <c r="F52" i="12820"/>
  <c r="G52" i="12820"/>
  <c r="H52" i="12820"/>
  <c r="I52" i="12820"/>
  <c r="J52" i="12820"/>
  <c r="K52" i="12820"/>
  <c r="E53" i="12820"/>
  <c r="F53" i="12820"/>
  <c r="G53" i="12820"/>
  <c r="H53" i="12820"/>
  <c r="I53" i="12820"/>
  <c r="J53" i="12820"/>
  <c r="K53" i="12820"/>
  <c r="Q53" i="12820"/>
  <c r="R53" i="12820"/>
  <c r="Q54" i="12820"/>
  <c r="R54" i="12820"/>
  <c r="Q55" i="12820"/>
  <c r="R55" i="12820"/>
  <c r="Q56" i="12820"/>
  <c r="R56" i="12820"/>
  <c r="E58" i="12820"/>
  <c r="F58" i="12820"/>
  <c r="G58" i="12820"/>
  <c r="H58" i="12820"/>
  <c r="I58" i="12820"/>
  <c r="J58" i="12820"/>
  <c r="K58" i="12820"/>
  <c r="Q58" i="12820"/>
  <c r="E59" i="12820"/>
  <c r="F59" i="12820"/>
  <c r="G59" i="12820"/>
  <c r="H59" i="12820"/>
  <c r="I59" i="12820"/>
  <c r="J59" i="12820"/>
  <c r="K59" i="12820"/>
  <c r="E60" i="12820"/>
  <c r="F60" i="12820"/>
  <c r="G60" i="12820"/>
  <c r="H60" i="12820"/>
  <c r="I60" i="12820"/>
  <c r="J60" i="12820"/>
  <c r="K60" i="12820"/>
  <c r="E61" i="12820"/>
  <c r="F61" i="12820"/>
  <c r="G61" i="12820"/>
  <c r="H61" i="12820"/>
  <c r="I61" i="12820"/>
  <c r="J61" i="12820"/>
  <c r="K61" i="12820"/>
  <c r="E62" i="12820"/>
  <c r="F62" i="12820"/>
  <c r="G62" i="12820"/>
  <c r="H62" i="12820"/>
  <c r="I62" i="12820"/>
  <c r="J62" i="12820"/>
  <c r="K62" i="12820"/>
  <c r="E63" i="12820"/>
  <c r="F63" i="12820"/>
  <c r="G63" i="12820"/>
  <c r="H63" i="12820"/>
  <c r="I63" i="12820"/>
  <c r="J63" i="12820"/>
  <c r="K63" i="12820"/>
  <c r="E64" i="12820"/>
  <c r="F64" i="12820"/>
  <c r="G64" i="12820"/>
  <c r="H64" i="12820"/>
  <c r="I64" i="12820"/>
  <c r="J64" i="12820"/>
  <c r="K64" i="12820"/>
  <c r="Q64" i="12820"/>
  <c r="T64" i="12820"/>
  <c r="U64" i="12820"/>
  <c r="E65" i="12820"/>
  <c r="F65" i="12820"/>
  <c r="G65" i="12820"/>
  <c r="H65" i="12820"/>
  <c r="I65" i="12820"/>
  <c r="J65" i="12820"/>
  <c r="K65" i="12820"/>
  <c r="Q65" i="12820"/>
  <c r="T65" i="12820"/>
  <c r="U65" i="12820"/>
  <c r="Y65" i="12820"/>
  <c r="E66" i="12820"/>
  <c r="F66" i="12820"/>
  <c r="G66" i="12820"/>
  <c r="H66" i="12820"/>
  <c r="I66" i="12820"/>
  <c r="J66" i="12820"/>
  <c r="K66" i="12820"/>
  <c r="Q66" i="12820"/>
  <c r="T66" i="12820"/>
  <c r="U66" i="12820"/>
  <c r="E67" i="12820"/>
  <c r="F67" i="12820"/>
  <c r="G67" i="12820"/>
  <c r="H67" i="12820"/>
  <c r="I67" i="12820"/>
  <c r="J67" i="12820"/>
  <c r="K67" i="12820"/>
  <c r="Q67" i="12820"/>
  <c r="T67" i="12820"/>
  <c r="U67" i="12820"/>
  <c r="Y67" i="12820"/>
  <c r="E68" i="12820"/>
  <c r="F68" i="12820"/>
  <c r="G68" i="12820"/>
  <c r="H68" i="12820"/>
  <c r="I68" i="12820"/>
  <c r="J68" i="12820"/>
  <c r="K68" i="12820"/>
  <c r="Q68" i="12820"/>
  <c r="T68" i="12820"/>
  <c r="U68" i="12820"/>
  <c r="E69" i="12820"/>
  <c r="F69" i="12820"/>
  <c r="G69" i="12820"/>
  <c r="H69" i="12820"/>
  <c r="I69" i="12820"/>
  <c r="J69" i="12820"/>
  <c r="K69" i="12820"/>
  <c r="Q69" i="12820"/>
  <c r="T69" i="12820"/>
  <c r="U69" i="12820"/>
  <c r="E70" i="12820"/>
  <c r="F70" i="12820"/>
  <c r="G70" i="12820"/>
  <c r="H70" i="12820"/>
  <c r="I70" i="12820"/>
  <c r="J70" i="12820"/>
  <c r="K70" i="12820"/>
  <c r="Q70" i="12820"/>
  <c r="T70" i="12820"/>
  <c r="U70" i="12820"/>
  <c r="E71" i="12820"/>
  <c r="F71" i="12820"/>
  <c r="G71" i="12820"/>
  <c r="H71" i="12820"/>
  <c r="I71" i="12820"/>
  <c r="J71" i="12820"/>
  <c r="K71" i="12820"/>
  <c r="Q71" i="12820"/>
  <c r="T71" i="12820"/>
  <c r="U71" i="12820"/>
  <c r="E72" i="12820"/>
  <c r="F72" i="12820"/>
  <c r="G72" i="12820"/>
  <c r="H72" i="12820"/>
  <c r="I72" i="12820"/>
  <c r="J72" i="12820"/>
  <c r="K72" i="12820"/>
  <c r="E73" i="12820"/>
  <c r="F73" i="12820"/>
  <c r="G73" i="12820"/>
  <c r="H73" i="12820"/>
  <c r="I73" i="12820"/>
  <c r="J73" i="12820"/>
  <c r="K73" i="12820"/>
  <c r="E74" i="12820"/>
  <c r="F74" i="12820"/>
  <c r="G74" i="12820"/>
  <c r="H74" i="12820"/>
  <c r="I74" i="12820"/>
  <c r="J74" i="12820"/>
  <c r="K74" i="12820"/>
  <c r="E75" i="12820"/>
  <c r="F75" i="12820"/>
  <c r="G75" i="12820"/>
  <c r="H75" i="12820"/>
  <c r="I75" i="12820"/>
  <c r="J75" i="12820"/>
  <c r="K75" i="12820"/>
  <c r="E76" i="12820"/>
  <c r="F76" i="12820"/>
  <c r="G76" i="12820"/>
  <c r="H76" i="12820"/>
  <c r="I76" i="12820"/>
  <c r="J76" i="12820"/>
  <c r="K76" i="12820"/>
  <c r="E77" i="12820"/>
  <c r="F77" i="12820"/>
  <c r="G77" i="12820"/>
  <c r="H77" i="12820"/>
  <c r="I77" i="12820"/>
  <c r="J77" i="12820"/>
  <c r="K77" i="12820"/>
  <c r="Q77" i="12820"/>
  <c r="R77" i="12820"/>
  <c r="E78" i="12820"/>
  <c r="F78" i="12820"/>
  <c r="G78" i="12820"/>
  <c r="H78" i="12820"/>
  <c r="I78" i="12820"/>
  <c r="J78" i="12820"/>
  <c r="K78" i="12820"/>
  <c r="Q78" i="12820"/>
  <c r="R78" i="12820"/>
  <c r="Q79" i="12820"/>
  <c r="R79" i="12820"/>
  <c r="Q80" i="12820"/>
  <c r="R80" i="12820"/>
  <c r="E83" i="12820"/>
  <c r="F83" i="12820"/>
  <c r="G83" i="12820"/>
  <c r="H83" i="12820"/>
  <c r="I83" i="12820"/>
  <c r="J83" i="12820"/>
  <c r="K83" i="12820"/>
  <c r="E84" i="12820"/>
  <c r="F84" i="12820"/>
  <c r="G84" i="12820"/>
  <c r="H84" i="12820"/>
  <c r="I84" i="12820"/>
  <c r="J84" i="12820"/>
  <c r="K84" i="12820"/>
  <c r="R84" i="12820"/>
  <c r="E85" i="12820"/>
  <c r="F85" i="12820"/>
  <c r="G85" i="12820"/>
  <c r="H85" i="12820"/>
  <c r="I85" i="12820"/>
  <c r="J85" i="12820"/>
  <c r="K85" i="12820"/>
  <c r="R85" i="12820"/>
  <c r="E86" i="12820"/>
  <c r="F86" i="12820"/>
  <c r="G86" i="12820"/>
  <c r="H86" i="12820"/>
  <c r="I86" i="12820"/>
  <c r="J86" i="12820"/>
  <c r="K86" i="12820"/>
  <c r="E87" i="12820"/>
  <c r="F87" i="12820"/>
  <c r="G87" i="12820"/>
  <c r="H87" i="12820"/>
  <c r="I87" i="12820"/>
  <c r="J87" i="12820"/>
  <c r="K87" i="12820"/>
  <c r="E88" i="12820"/>
  <c r="F88" i="12820"/>
  <c r="G88" i="12820"/>
  <c r="H88" i="12820"/>
  <c r="I88" i="12820"/>
  <c r="J88" i="12820"/>
  <c r="K88" i="12820"/>
  <c r="E89" i="12820"/>
  <c r="F89" i="12820"/>
  <c r="G89" i="12820"/>
  <c r="H89" i="12820"/>
  <c r="I89" i="12820"/>
  <c r="J89" i="12820"/>
  <c r="K89" i="12820"/>
  <c r="E90" i="12820"/>
  <c r="F90" i="12820"/>
  <c r="G90" i="12820"/>
  <c r="H90" i="12820"/>
  <c r="I90" i="12820"/>
  <c r="J90" i="12820"/>
  <c r="K90" i="12820"/>
  <c r="E91" i="12820"/>
  <c r="F91" i="12820"/>
  <c r="G91" i="12820"/>
  <c r="H91" i="12820"/>
  <c r="I91" i="12820"/>
  <c r="J91" i="12820"/>
  <c r="K91" i="12820"/>
  <c r="E92" i="12820"/>
  <c r="F92" i="12820"/>
  <c r="G92" i="12820"/>
  <c r="H92" i="12820"/>
  <c r="I92" i="12820"/>
  <c r="J92" i="12820"/>
  <c r="K92" i="12820"/>
  <c r="E93" i="12820"/>
  <c r="F93" i="12820"/>
  <c r="G93" i="12820"/>
  <c r="H93" i="12820"/>
  <c r="I93" i="12820"/>
  <c r="J93" i="12820"/>
  <c r="K93" i="12820"/>
  <c r="E94" i="12820"/>
  <c r="F94" i="12820"/>
  <c r="G94" i="12820"/>
  <c r="H94" i="12820"/>
  <c r="I94" i="12820"/>
  <c r="J94" i="12820"/>
  <c r="K94" i="12820"/>
  <c r="E95" i="12820"/>
  <c r="F95" i="12820"/>
  <c r="G95" i="12820"/>
  <c r="H95" i="12820"/>
  <c r="I95" i="12820"/>
  <c r="J95" i="12820"/>
  <c r="K95" i="12820"/>
  <c r="E96" i="12820"/>
  <c r="F96" i="12820"/>
  <c r="G96" i="12820"/>
  <c r="H96" i="12820"/>
  <c r="I96" i="12820"/>
  <c r="J96" i="12820"/>
  <c r="K96" i="12820"/>
  <c r="E97" i="12820"/>
  <c r="F97" i="12820"/>
  <c r="G97" i="12820"/>
  <c r="H97" i="12820"/>
  <c r="I97" i="12820"/>
  <c r="J97" i="12820"/>
  <c r="K97" i="12820"/>
  <c r="E98" i="12820"/>
  <c r="F98" i="12820"/>
  <c r="G98" i="12820"/>
  <c r="H98" i="12820"/>
  <c r="I98" i="12820"/>
  <c r="J98" i="12820"/>
  <c r="K98" i="12820"/>
  <c r="E99" i="12820"/>
  <c r="F99" i="12820"/>
  <c r="G99" i="12820"/>
  <c r="H99" i="12820"/>
  <c r="I99" i="12820"/>
  <c r="J99" i="12820"/>
  <c r="K99" i="12820"/>
  <c r="E100" i="12820"/>
  <c r="F100" i="12820"/>
  <c r="G100" i="12820"/>
  <c r="H100" i="12820"/>
  <c r="I100" i="12820"/>
  <c r="J100" i="12820"/>
  <c r="K100" i="12820"/>
  <c r="E101" i="12820"/>
  <c r="F101" i="12820"/>
  <c r="G101" i="12820"/>
  <c r="H101" i="12820"/>
  <c r="I101" i="12820"/>
  <c r="J101" i="12820"/>
  <c r="K101" i="12820"/>
  <c r="E102" i="12820"/>
  <c r="F102" i="12820"/>
  <c r="G102" i="12820"/>
  <c r="H102" i="12820"/>
  <c r="I102" i="12820"/>
  <c r="J102" i="12820"/>
  <c r="K102" i="12820"/>
  <c r="E103" i="12820"/>
  <c r="F103" i="12820"/>
  <c r="G103" i="12820"/>
  <c r="H103" i="12820"/>
  <c r="I103" i="12820"/>
  <c r="J103" i="12820"/>
  <c r="K103" i="12820"/>
  <c r="E108" i="12820"/>
  <c r="F108" i="12820"/>
  <c r="G108" i="12820"/>
  <c r="H108" i="12820"/>
  <c r="I108" i="12820"/>
  <c r="J108" i="12820"/>
  <c r="K108" i="12820"/>
  <c r="E109" i="12820"/>
  <c r="F109" i="12820"/>
  <c r="G109" i="12820"/>
  <c r="H109" i="12820"/>
  <c r="I109" i="12820"/>
  <c r="J109" i="12820"/>
  <c r="K109" i="12820"/>
  <c r="E110" i="12820"/>
  <c r="F110" i="12820"/>
  <c r="G110" i="12820"/>
  <c r="H110" i="12820"/>
  <c r="I110" i="12820"/>
  <c r="J110" i="12820"/>
  <c r="K110" i="12820"/>
  <c r="E111" i="12820"/>
  <c r="F111" i="12820"/>
  <c r="G111" i="12820"/>
  <c r="H111" i="12820"/>
  <c r="I111" i="12820"/>
  <c r="J111" i="12820"/>
  <c r="K111" i="12820"/>
  <c r="E112" i="12820"/>
  <c r="F112" i="12820"/>
  <c r="G112" i="12820"/>
  <c r="H112" i="12820"/>
  <c r="I112" i="12820"/>
  <c r="J112" i="12820"/>
  <c r="K112" i="12820"/>
  <c r="E113" i="12820"/>
  <c r="F113" i="12820"/>
  <c r="G113" i="12820"/>
  <c r="H113" i="12820"/>
  <c r="I113" i="12820"/>
  <c r="J113" i="12820"/>
  <c r="K113" i="12820"/>
  <c r="E114" i="12820"/>
  <c r="F114" i="12820"/>
  <c r="G114" i="12820"/>
  <c r="H114" i="12820"/>
  <c r="I114" i="12820"/>
  <c r="J114" i="12820"/>
  <c r="K114" i="12820"/>
  <c r="E115" i="12820"/>
  <c r="F115" i="12820"/>
  <c r="G115" i="12820"/>
  <c r="H115" i="12820"/>
  <c r="I115" i="12820"/>
  <c r="J115" i="12820"/>
  <c r="K115" i="12820"/>
  <c r="E116" i="12820"/>
  <c r="F116" i="12820"/>
  <c r="G116" i="12820"/>
  <c r="H116" i="12820"/>
  <c r="I116" i="12820"/>
  <c r="J116" i="12820"/>
  <c r="K116" i="12820"/>
  <c r="E117" i="12820"/>
  <c r="F117" i="12820"/>
  <c r="G117" i="12820"/>
  <c r="H117" i="12820"/>
  <c r="I117" i="12820"/>
  <c r="J117" i="12820"/>
  <c r="K117" i="12820"/>
  <c r="E118" i="12820"/>
  <c r="F118" i="12820"/>
  <c r="G118" i="12820"/>
  <c r="H118" i="12820"/>
  <c r="I118" i="12820"/>
  <c r="J118" i="12820"/>
  <c r="K118" i="12820"/>
  <c r="E119" i="12820"/>
  <c r="F119" i="12820"/>
  <c r="G119" i="12820"/>
  <c r="H119" i="12820"/>
  <c r="I119" i="12820"/>
  <c r="J119" i="12820"/>
  <c r="K119" i="12820"/>
  <c r="E120" i="12820"/>
  <c r="F120" i="12820"/>
  <c r="G120" i="12820"/>
  <c r="H120" i="12820"/>
  <c r="I120" i="12820"/>
  <c r="J120" i="12820"/>
  <c r="K120" i="12820"/>
  <c r="E121" i="12820"/>
  <c r="F121" i="12820"/>
  <c r="G121" i="12820"/>
  <c r="H121" i="12820"/>
  <c r="I121" i="12820"/>
  <c r="J121" i="12820"/>
  <c r="K121" i="12820"/>
  <c r="E122" i="12820"/>
  <c r="F122" i="12820"/>
  <c r="G122" i="12820"/>
  <c r="H122" i="12820"/>
  <c r="I122" i="12820"/>
  <c r="J122" i="12820"/>
  <c r="K122" i="12820"/>
  <c r="E123" i="12820"/>
  <c r="F123" i="12820"/>
  <c r="G123" i="12820"/>
  <c r="H123" i="12820"/>
  <c r="I123" i="12820"/>
  <c r="J123" i="12820"/>
  <c r="K123" i="12820"/>
  <c r="E124" i="12820"/>
  <c r="F124" i="12820"/>
  <c r="G124" i="12820"/>
  <c r="H124" i="12820"/>
  <c r="I124" i="12820"/>
  <c r="J124" i="12820"/>
  <c r="K124" i="12820"/>
  <c r="E125" i="12820"/>
  <c r="F125" i="12820"/>
  <c r="G125" i="12820"/>
  <c r="H125" i="12820"/>
  <c r="I125" i="12820"/>
  <c r="J125" i="12820"/>
  <c r="K125" i="12820"/>
  <c r="E126" i="12820"/>
  <c r="F126" i="12820"/>
  <c r="G126" i="12820"/>
  <c r="H126" i="12820"/>
  <c r="I126" i="12820"/>
  <c r="J126" i="12820"/>
  <c r="K126" i="12820"/>
  <c r="E127" i="12820"/>
  <c r="F127" i="12820"/>
  <c r="G127" i="12820"/>
  <c r="H127" i="12820"/>
  <c r="I127" i="12820"/>
  <c r="J127" i="12820"/>
  <c r="K127" i="12820"/>
  <c r="E128" i="12820"/>
  <c r="F128" i="12820"/>
  <c r="G128" i="12820"/>
  <c r="H128" i="12820"/>
  <c r="I128" i="12820"/>
  <c r="J128" i="12820"/>
  <c r="K128" i="12820"/>
  <c r="E133" i="12820"/>
  <c r="F133" i="12820"/>
  <c r="G133" i="12820"/>
  <c r="H133" i="12820"/>
  <c r="I133" i="12820"/>
  <c r="J133" i="12820"/>
  <c r="K133" i="12820"/>
  <c r="E134" i="12820"/>
  <c r="F134" i="12820"/>
  <c r="G134" i="12820"/>
  <c r="H134" i="12820"/>
  <c r="I134" i="12820"/>
  <c r="J134" i="12820"/>
  <c r="K134" i="12820"/>
  <c r="E135" i="12820"/>
  <c r="F135" i="12820"/>
  <c r="G135" i="12820"/>
  <c r="H135" i="12820"/>
  <c r="I135" i="12820"/>
  <c r="J135" i="12820"/>
  <c r="K135" i="12820"/>
  <c r="E136" i="12820"/>
  <c r="F136" i="12820"/>
  <c r="G136" i="12820"/>
  <c r="H136" i="12820"/>
  <c r="I136" i="12820"/>
  <c r="J136" i="12820"/>
  <c r="K136" i="12820"/>
  <c r="E137" i="12820"/>
  <c r="F137" i="12820"/>
  <c r="G137" i="12820"/>
  <c r="H137" i="12820"/>
  <c r="I137" i="12820"/>
  <c r="J137" i="12820"/>
  <c r="K137" i="12820"/>
  <c r="E138" i="12820"/>
  <c r="F138" i="12820"/>
  <c r="G138" i="12820"/>
  <c r="H138" i="12820"/>
  <c r="I138" i="12820"/>
  <c r="J138" i="12820"/>
  <c r="K138" i="12820"/>
  <c r="E139" i="12820"/>
  <c r="F139" i="12820"/>
  <c r="G139" i="12820"/>
  <c r="H139" i="12820"/>
  <c r="I139" i="12820"/>
  <c r="J139" i="12820"/>
  <c r="K139" i="12820"/>
  <c r="E140" i="12820"/>
  <c r="F140" i="12820"/>
  <c r="G140" i="12820"/>
  <c r="H140" i="12820"/>
  <c r="I140" i="12820"/>
  <c r="J140" i="12820"/>
  <c r="K140" i="12820"/>
  <c r="E141" i="12820"/>
  <c r="F141" i="12820"/>
  <c r="G141" i="12820"/>
  <c r="H141" i="12820"/>
  <c r="I141" i="12820"/>
  <c r="J141" i="12820"/>
  <c r="K141" i="12820"/>
  <c r="E142" i="12820"/>
  <c r="F142" i="12820"/>
  <c r="G142" i="12820"/>
  <c r="H142" i="12820"/>
  <c r="I142" i="12820"/>
  <c r="J142" i="12820"/>
  <c r="K142" i="12820"/>
  <c r="E143" i="12820"/>
  <c r="F143" i="12820"/>
  <c r="G143" i="12820"/>
  <c r="H143" i="12820"/>
  <c r="I143" i="12820"/>
  <c r="J143" i="12820"/>
  <c r="K143" i="12820"/>
  <c r="E144" i="12820"/>
  <c r="F144" i="12820"/>
  <c r="G144" i="12820"/>
  <c r="H144" i="12820"/>
  <c r="I144" i="12820"/>
  <c r="J144" i="12820"/>
  <c r="K144" i="12820"/>
  <c r="E145" i="12820"/>
  <c r="F145" i="12820"/>
  <c r="G145" i="12820"/>
  <c r="H145" i="12820"/>
  <c r="I145" i="12820"/>
  <c r="J145" i="12820"/>
  <c r="K145" i="12820"/>
  <c r="E146" i="12820"/>
  <c r="F146" i="12820"/>
  <c r="G146" i="12820"/>
  <c r="H146" i="12820"/>
  <c r="I146" i="12820"/>
  <c r="J146" i="12820"/>
  <c r="K146" i="12820"/>
  <c r="E147" i="12820"/>
  <c r="F147" i="12820"/>
  <c r="G147" i="12820"/>
  <c r="H147" i="12820"/>
  <c r="I147" i="12820"/>
  <c r="J147" i="12820"/>
  <c r="K147" i="12820"/>
  <c r="E148" i="12820"/>
  <c r="F148" i="12820"/>
  <c r="G148" i="12820"/>
  <c r="H148" i="12820"/>
  <c r="I148" i="12820"/>
  <c r="J148" i="12820"/>
  <c r="K148" i="12820"/>
  <c r="E149" i="12820"/>
  <c r="F149" i="12820"/>
  <c r="G149" i="12820"/>
  <c r="H149" i="12820"/>
  <c r="I149" i="12820"/>
  <c r="J149" i="12820"/>
  <c r="K149" i="12820"/>
  <c r="E150" i="12820"/>
  <c r="F150" i="12820"/>
  <c r="G150" i="12820"/>
  <c r="H150" i="12820"/>
  <c r="I150" i="12820"/>
  <c r="J150" i="12820"/>
  <c r="K150" i="12820"/>
  <c r="E151" i="12820"/>
  <c r="F151" i="12820"/>
  <c r="G151" i="12820"/>
  <c r="H151" i="12820"/>
  <c r="I151" i="12820"/>
  <c r="J151" i="12820"/>
  <c r="K151" i="12820"/>
  <c r="E152" i="12820"/>
  <c r="F152" i="12820"/>
  <c r="G152" i="12820"/>
  <c r="H152" i="12820"/>
  <c r="I152" i="12820"/>
  <c r="J152" i="12820"/>
  <c r="K152" i="12820"/>
  <c r="E153" i="12820"/>
  <c r="F153" i="12820"/>
  <c r="G153" i="12820"/>
  <c r="H153" i="12820"/>
  <c r="I153" i="12820"/>
  <c r="J153" i="12820"/>
  <c r="K153" i="12820"/>
  <c r="G8" i="12821"/>
  <c r="H8" i="12821"/>
  <c r="I8" i="12821"/>
  <c r="J8" i="12821"/>
  <c r="K8" i="12821"/>
  <c r="L8" i="12821"/>
  <c r="M8" i="12821"/>
  <c r="G9" i="12821"/>
  <c r="H9" i="12821"/>
  <c r="I9" i="12821"/>
  <c r="J9" i="12821"/>
  <c r="K9" i="12821"/>
  <c r="L9" i="12821"/>
  <c r="M9" i="12821"/>
  <c r="G10" i="12821"/>
  <c r="H10" i="12821"/>
  <c r="I10" i="12821"/>
  <c r="J10" i="12821"/>
  <c r="K10" i="12821"/>
  <c r="L10" i="12821"/>
  <c r="M10" i="12821"/>
  <c r="G11" i="12821"/>
  <c r="H11" i="12821"/>
  <c r="I11" i="12821"/>
  <c r="J11" i="12821"/>
  <c r="K11" i="12821"/>
  <c r="L11" i="12821"/>
  <c r="M11" i="12821"/>
  <c r="G12" i="12821"/>
  <c r="H12" i="12821"/>
  <c r="I12" i="12821"/>
  <c r="J12" i="12821"/>
  <c r="K12" i="12821"/>
  <c r="L12" i="12821"/>
  <c r="M12" i="12821"/>
  <c r="G13" i="12821"/>
  <c r="H13" i="12821"/>
  <c r="I13" i="12821"/>
  <c r="J13" i="12821"/>
  <c r="K13" i="12821"/>
  <c r="L13" i="12821"/>
  <c r="M13" i="12821"/>
  <c r="G14" i="12821"/>
  <c r="H14" i="12821"/>
  <c r="I14" i="12821"/>
  <c r="J14" i="12821"/>
  <c r="K14" i="12821"/>
  <c r="L14" i="12821"/>
  <c r="M14" i="12821"/>
  <c r="G15" i="12821"/>
  <c r="H15" i="12821"/>
  <c r="I15" i="12821"/>
  <c r="J15" i="12821"/>
  <c r="K15" i="12821"/>
  <c r="L15" i="12821"/>
  <c r="M15" i="12821"/>
  <c r="G16" i="12821"/>
  <c r="H16" i="12821"/>
  <c r="I16" i="12821"/>
  <c r="J16" i="12821"/>
  <c r="K16" i="12821"/>
  <c r="L16" i="12821"/>
  <c r="M16" i="12821"/>
  <c r="G17" i="12821"/>
  <c r="H17" i="12821"/>
  <c r="I17" i="12821"/>
  <c r="J17" i="12821"/>
  <c r="K17" i="12821"/>
  <c r="L17" i="12821"/>
  <c r="M17" i="12821"/>
  <c r="G18" i="12821"/>
  <c r="H18" i="12821"/>
  <c r="I18" i="12821"/>
  <c r="J18" i="12821"/>
  <c r="K18" i="12821"/>
  <c r="L18" i="12821"/>
  <c r="M18" i="12821"/>
  <c r="G19" i="12821"/>
  <c r="H19" i="12821"/>
  <c r="I19" i="12821"/>
  <c r="J19" i="12821"/>
  <c r="K19" i="12821"/>
  <c r="L19" i="12821"/>
  <c r="M19" i="12821"/>
  <c r="G20" i="12821"/>
  <c r="H20" i="12821"/>
  <c r="I20" i="12821"/>
  <c r="J20" i="12821"/>
  <c r="K20" i="12821"/>
  <c r="L20" i="12821"/>
  <c r="M20" i="12821"/>
  <c r="G21" i="12821"/>
  <c r="H21" i="12821"/>
  <c r="I21" i="12821"/>
  <c r="J21" i="12821"/>
  <c r="K21" i="12821"/>
  <c r="L21" i="12821"/>
  <c r="M21" i="12821"/>
  <c r="G22" i="12821"/>
  <c r="H22" i="12821"/>
  <c r="I22" i="12821"/>
  <c r="J22" i="12821"/>
  <c r="K22" i="12821"/>
  <c r="L22" i="12821"/>
  <c r="M22" i="12821"/>
  <c r="G26" i="12821"/>
  <c r="H26" i="12821"/>
  <c r="I26" i="12821"/>
  <c r="J26" i="12821"/>
  <c r="K26" i="12821"/>
  <c r="L26" i="12821"/>
  <c r="M26" i="12821"/>
  <c r="G27" i="12821"/>
  <c r="H27" i="12821"/>
  <c r="I27" i="12821"/>
  <c r="J27" i="12821"/>
  <c r="K27" i="12821"/>
  <c r="L27" i="12821"/>
  <c r="M27" i="12821"/>
  <c r="G28" i="12821"/>
  <c r="H28" i="12821"/>
  <c r="I28" i="12821"/>
  <c r="J28" i="12821"/>
  <c r="K28" i="12821"/>
  <c r="L28" i="12821"/>
  <c r="M28" i="12821"/>
  <c r="G29" i="12821"/>
  <c r="H29" i="12821"/>
  <c r="I29" i="12821"/>
  <c r="J29" i="12821"/>
  <c r="K29" i="12821"/>
  <c r="L29" i="12821"/>
  <c r="M29" i="12821"/>
  <c r="G30" i="12821"/>
  <c r="H30" i="12821"/>
  <c r="I30" i="12821"/>
  <c r="J30" i="12821"/>
  <c r="K30" i="12821"/>
  <c r="L30" i="12821"/>
  <c r="M30" i="12821"/>
  <c r="G31" i="12821"/>
  <c r="H31" i="12821"/>
  <c r="I31" i="12821"/>
  <c r="J31" i="12821"/>
  <c r="K31" i="12821"/>
  <c r="L31" i="12821"/>
  <c r="M31" i="12821"/>
  <c r="G32" i="12821"/>
  <c r="H32" i="12821"/>
  <c r="I32" i="12821"/>
  <c r="J32" i="12821"/>
  <c r="K32" i="12821"/>
  <c r="L32" i="12821"/>
  <c r="M32" i="12821"/>
  <c r="G33" i="12821"/>
  <c r="H33" i="12821"/>
  <c r="I33" i="12821"/>
  <c r="J33" i="12821"/>
  <c r="K33" i="12821"/>
  <c r="L33" i="12821"/>
  <c r="M33" i="12821"/>
  <c r="G34" i="12821"/>
  <c r="H34" i="12821"/>
  <c r="I34" i="12821"/>
  <c r="J34" i="12821"/>
  <c r="K34" i="12821"/>
  <c r="L34" i="12821"/>
  <c r="M34" i="12821"/>
  <c r="G35" i="12821"/>
  <c r="H35" i="12821"/>
  <c r="I35" i="12821"/>
  <c r="J35" i="12821"/>
  <c r="K35" i="12821"/>
  <c r="L35" i="12821"/>
  <c r="M35" i="12821"/>
  <c r="G36" i="12821"/>
  <c r="H36" i="12821"/>
  <c r="I36" i="12821"/>
  <c r="J36" i="12821"/>
  <c r="K36" i="12821"/>
  <c r="L36" i="12821"/>
  <c r="M36" i="12821"/>
  <c r="G37" i="12821"/>
  <c r="H37" i="12821"/>
  <c r="I37" i="12821"/>
  <c r="J37" i="12821"/>
  <c r="K37" i="12821"/>
  <c r="L37" i="12821"/>
  <c r="M37" i="12821"/>
  <c r="G38" i="12821"/>
  <c r="H38" i="12821"/>
  <c r="I38" i="12821"/>
  <c r="J38" i="12821"/>
  <c r="K38" i="12821"/>
  <c r="L38" i="12821"/>
  <c r="M38" i="12821"/>
  <c r="G39" i="12821"/>
  <c r="H39" i="12821"/>
  <c r="I39" i="12821"/>
  <c r="J39" i="12821"/>
  <c r="K39" i="12821"/>
  <c r="L39" i="12821"/>
  <c r="M39" i="12821"/>
  <c r="G40" i="12821"/>
  <c r="H40" i="12821"/>
  <c r="I40" i="12821"/>
  <c r="J40" i="12821"/>
  <c r="K40" i="12821"/>
  <c r="L40" i="12821"/>
  <c r="M40" i="12821"/>
  <c r="G44" i="12821"/>
  <c r="H44" i="12821"/>
  <c r="I44" i="12821"/>
  <c r="J44" i="12821"/>
  <c r="K44" i="12821"/>
  <c r="L44" i="12821"/>
  <c r="M44" i="12821"/>
  <c r="G45" i="12821"/>
  <c r="H45" i="12821"/>
  <c r="I45" i="12821"/>
  <c r="J45" i="12821"/>
  <c r="K45" i="12821"/>
  <c r="L45" i="12821"/>
  <c r="M45" i="12821"/>
  <c r="G46" i="12821"/>
  <c r="H46" i="12821"/>
  <c r="I46" i="12821"/>
  <c r="J46" i="12821"/>
  <c r="K46" i="12821"/>
  <c r="L46" i="12821"/>
  <c r="M46" i="12821"/>
  <c r="G47" i="12821"/>
  <c r="H47" i="12821"/>
  <c r="I47" i="12821"/>
  <c r="J47" i="12821"/>
  <c r="K47" i="12821"/>
  <c r="L47" i="12821"/>
  <c r="M47" i="12821"/>
  <c r="G48" i="12821"/>
  <c r="H48" i="12821"/>
  <c r="I48" i="12821"/>
  <c r="J48" i="12821"/>
  <c r="K48" i="12821"/>
  <c r="L48" i="12821"/>
  <c r="M48" i="12821"/>
  <c r="G49" i="12821"/>
  <c r="H49" i="12821"/>
  <c r="I49" i="12821"/>
  <c r="J49" i="12821"/>
  <c r="K49" i="12821"/>
  <c r="L49" i="12821"/>
  <c r="M49" i="12821"/>
  <c r="G50" i="12821"/>
  <c r="H50" i="12821"/>
  <c r="I50" i="12821"/>
  <c r="J50" i="12821"/>
  <c r="K50" i="12821"/>
  <c r="L50" i="12821"/>
  <c r="M50" i="12821"/>
  <c r="G51" i="12821"/>
  <c r="H51" i="12821"/>
  <c r="I51" i="12821"/>
  <c r="J51" i="12821"/>
  <c r="K51" i="12821"/>
  <c r="L51" i="12821"/>
  <c r="M51" i="12821"/>
  <c r="G52" i="12821"/>
  <c r="H52" i="12821"/>
  <c r="I52" i="12821"/>
  <c r="J52" i="12821"/>
  <c r="K52" i="12821"/>
  <c r="L52" i="12821"/>
  <c r="M52" i="12821"/>
  <c r="G53" i="12821"/>
  <c r="H53" i="12821"/>
  <c r="I53" i="12821"/>
  <c r="J53" i="12821"/>
  <c r="K53" i="12821"/>
  <c r="L53" i="12821"/>
  <c r="M53" i="12821"/>
  <c r="G54" i="12821"/>
  <c r="H54" i="12821"/>
  <c r="I54" i="12821"/>
  <c r="J54" i="12821"/>
  <c r="K54" i="12821"/>
  <c r="L54" i="12821"/>
  <c r="M54" i="12821"/>
  <c r="G55" i="12821"/>
  <c r="H55" i="12821"/>
  <c r="I55" i="12821"/>
  <c r="J55" i="12821"/>
  <c r="K55" i="12821"/>
  <c r="L55" i="12821"/>
  <c r="M55" i="12821"/>
  <c r="G56" i="12821"/>
  <c r="H56" i="12821"/>
  <c r="I56" i="12821"/>
  <c r="J56" i="12821"/>
  <c r="K56" i="12821"/>
  <c r="L56" i="12821"/>
  <c r="M56" i="12821"/>
  <c r="G57" i="12821"/>
  <c r="H57" i="12821"/>
  <c r="I57" i="12821"/>
  <c r="J57" i="12821"/>
  <c r="K57" i="12821"/>
  <c r="L57" i="12821"/>
  <c r="M57" i="12821"/>
  <c r="G58" i="12821"/>
  <c r="H58" i="12821"/>
  <c r="I58" i="12821"/>
  <c r="J58" i="12821"/>
  <c r="K58" i="12821"/>
  <c r="L58" i="12821"/>
  <c r="M58" i="12821"/>
  <c r="G62" i="12821"/>
  <c r="H62" i="12821"/>
  <c r="I62" i="12821"/>
  <c r="J62" i="12821"/>
  <c r="K62" i="12821"/>
  <c r="L62" i="12821"/>
  <c r="M62" i="12821"/>
  <c r="G63" i="12821"/>
  <c r="H63" i="12821"/>
  <c r="I63" i="12821"/>
  <c r="J63" i="12821"/>
  <c r="K63" i="12821"/>
  <c r="L63" i="12821"/>
  <c r="M63" i="12821"/>
  <c r="G64" i="12821"/>
  <c r="H64" i="12821"/>
  <c r="I64" i="12821"/>
  <c r="J64" i="12821"/>
  <c r="K64" i="12821"/>
  <c r="L64" i="12821"/>
  <c r="M64" i="12821"/>
  <c r="G65" i="12821"/>
  <c r="H65" i="12821"/>
  <c r="I65" i="12821"/>
  <c r="J65" i="12821"/>
  <c r="K65" i="12821"/>
  <c r="L65" i="12821"/>
  <c r="M65" i="12821"/>
  <c r="G66" i="12821"/>
  <c r="H66" i="12821"/>
  <c r="I66" i="12821"/>
  <c r="J66" i="12821"/>
  <c r="K66" i="12821"/>
  <c r="L66" i="12821"/>
  <c r="M66" i="12821"/>
  <c r="G67" i="12821"/>
  <c r="H67" i="12821"/>
  <c r="I67" i="12821"/>
  <c r="J67" i="12821"/>
  <c r="K67" i="12821"/>
  <c r="L67" i="12821"/>
  <c r="M67" i="12821"/>
  <c r="G68" i="12821"/>
  <c r="H68" i="12821"/>
  <c r="I68" i="12821"/>
  <c r="J68" i="12821"/>
  <c r="K68" i="12821"/>
  <c r="L68" i="12821"/>
  <c r="M68" i="12821"/>
  <c r="G69" i="12821"/>
  <c r="H69" i="12821"/>
  <c r="I69" i="12821"/>
  <c r="J69" i="12821"/>
  <c r="K69" i="12821"/>
  <c r="L69" i="12821"/>
  <c r="M69" i="12821"/>
  <c r="G70" i="12821"/>
  <c r="H70" i="12821"/>
  <c r="I70" i="12821"/>
  <c r="J70" i="12821"/>
  <c r="K70" i="12821"/>
  <c r="L70" i="12821"/>
  <c r="M70" i="12821"/>
  <c r="G71" i="12821"/>
  <c r="H71" i="12821"/>
  <c r="I71" i="12821"/>
  <c r="J71" i="12821"/>
  <c r="K71" i="12821"/>
  <c r="L71" i="12821"/>
  <c r="M71" i="12821"/>
  <c r="G72" i="12821"/>
  <c r="H72" i="12821"/>
  <c r="I72" i="12821"/>
  <c r="J72" i="12821"/>
  <c r="K72" i="12821"/>
  <c r="L72" i="12821"/>
  <c r="M72" i="12821"/>
  <c r="G73" i="12821"/>
  <c r="H73" i="12821"/>
  <c r="I73" i="12821"/>
  <c r="J73" i="12821"/>
  <c r="K73" i="12821"/>
  <c r="L73" i="12821"/>
  <c r="M73" i="12821"/>
  <c r="G74" i="12821"/>
  <c r="H74" i="12821"/>
  <c r="I74" i="12821"/>
  <c r="J74" i="12821"/>
  <c r="K74" i="12821"/>
  <c r="L74" i="12821"/>
  <c r="M74" i="12821"/>
  <c r="G75" i="12821"/>
  <c r="H75" i="12821"/>
  <c r="I75" i="12821"/>
  <c r="J75" i="12821"/>
  <c r="K75" i="12821"/>
  <c r="L75" i="12821"/>
  <c r="M75" i="12821"/>
  <c r="G76" i="12821"/>
  <c r="H76" i="12821"/>
  <c r="I76" i="12821"/>
  <c r="J76" i="12821"/>
  <c r="K76" i="12821"/>
  <c r="L76" i="12821"/>
  <c r="M76" i="12821"/>
  <c r="G80" i="12821"/>
  <c r="H80" i="12821"/>
  <c r="I80" i="12821"/>
  <c r="J80" i="12821"/>
  <c r="K80" i="12821"/>
  <c r="L80" i="12821"/>
  <c r="M80" i="12821"/>
  <c r="G81" i="12821"/>
  <c r="H81" i="12821"/>
  <c r="I81" i="12821"/>
  <c r="J81" i="12821"/>
  <c r="K81" i="12821"/>
  <c r="L81" i="12821"/>
  <c r="M81" i="12821"/>
  <c r="G82" i="12821"/>
  <c r="H82" i="12821"/>
  <c r="I82" i="12821"/>
  <c r="J82" i="12821"/>
  <c r="K82" i="12821"/>
  <c r="L82" i="12821"/>
  <c r="M82" i="12821"/>
  <c r="G83" i="12821"/>
  <c r="H83" i="12821"/>
  <c r="I83" i="12821"/>
  <c r="J83" i="12821"/>
  <c r="K83" i="12821"/>
  <c r="L83" i="12821"/>
  <c r="M83" i="12821"/>
  <c r="G84" i="12821"/>
  <c r="H84" i="12821"/>
  <c r="I84" i="12821"/>
  <c r="J84" i="12821"/>
  <c r="K84" i="12821"/>
  <c r="L84" i="12821"/>
  <c r="M84" i="12821"/>
  <c r="G85" i="12821"/>
  <c r="H85" i="12821"/>
  <c r="I85" i="12821"/>
  <c r="J85" i="12821"/>
  <c r="K85" i="12821"/>
  <c r="L85" i="12821"/>
  <c r="M85" i="12821"/>
  <c r="G86" i="12821"/>
  <c r="H86" i="12821"/>
  <c r="I86" i="12821"/>
  <c r="J86" i="12821"/>
  <c r="K86" i="12821"/>
  <c r="L86" i="12821"/>
  <c r="M86" i="12821"/>
  <c r="G87" i="12821"/>
  <c r="H87" i="12821"/>
  <c r="I87" i="12821"/>
  <c r="J87" i="12821"/>
  <c r="K87" i="12821"/>
  <c r="L87" i="12821"/>
  <c r="M87" i="12821"/>
  <c r="G88" i="12821"/>
  <c r="H88" i="12821"/>
  <c r="I88" i="12821"/>
  <c r="J88" i="12821"/>
  <c r="K88" i="12821"/>
  <c r="L88" i="12821"/>
  <c r="M88" i="12821"/>
  <c r="G89" i="12821"/>
  <c r="H89" i="12821"/>
  <c r="I89" i="12821"/>
  <c r="J89" i="12821"/>
  <c r="K89" i="12821"/>
  <c r="L89" i="12821"/>
  <c r="M89" i="12821"/>
  <c r="G90" i="12821"/>
  <c r="H90" i="12821"/>
  <c r="I90" i="12821"/>
  <c r="J90" i="12821"/>
  <c r="K90" i="12821"/>
  <c r="L90" i="12821"/>
  <c r="M90" i="12821"/>
  <c r="G91" i="12821"/>
  <c r="H91" i="12821"/>
  <c r="I91" i="12821"/>
  <c r="J91" i="12821"/>
  <c r="K91" i="12821"/>
  <c r="L91" i="12821"/>
  <c r="M91" i="12821"/>
  <c r="G92" i="12821"/>
  <c r="H92" i="12821"/>
  <c r="I92" i="12821"/>
  <c r="J92" i="12821"/>
  <c r="K92" i="12821"/>
  <c r="L92" i="12821"/>
  <c r="M92" i="12821"/>
  <c r="G93" i="12821"/>
  <c r="H93" i="12821"/>
  <c r="I93" i="12821"/>
  <c r="J93" i="12821"/>
  <c r="K93" i="12821"/>
  <c r="L93" i="12821"/>
  <c r="M93" i="12821"/>
  <c r="G94" i="12821"/>
  <c r="H94" i="12821"/>
  <c r="I94" i="12821"/>
  <c r="J94" i="12821"/>
  <c r="K94" i="12821"/>
  <c r="L94" i="12821"/>
  <c r="M94" i="12821"/>
  <c r="G98" i="12821"/>
  <c r="H98" i="12821"/>
  <c r="I98" i="12821"/>
  <c r="J98" i="12821"/>
  <c r="K98" i="12821"/>
  <c r="L98" i="12821"/>
  <c r="M98" i="12821"/>
  <c r="G99" i="12821"/>
  <c r="H99" i="12821"/>
  <c r="I99" i="12821"/>
  <c r="J99" i="12821"/>
  <c r="K99" i="12821"/>
  <c r="L99" i="12821"/>
  <c r="M99" i="12821"/>
  <c r="G100" i="12821"/>
  <c r="H100" i="12821"/>
  <c r="I100" i="12821"/>
  <c r="J100" i="12821"/>
  <c r="K100" i="12821"/>
  <c r="L100" i="12821"/>
  <c r="M100" i="12821"/>
  <c r="G101" i="12821"/>
  <c r="H101" i="12821"/>
  <c r="I101" i="12821"/>
  <c r="J101" i="12821"/>
  <c r="K101" i="12821"/>
  <c r="L101" i="12821"/>
  <c r="M101" i="12821"/>
  <c r="G102" i="12821"/>
  <c r="H102" i="12821"/>
  <c r="I102" i="12821"/>
  <c r="J102" i="12821"/>
  <c r="K102" i="12821"/>
  <c r="L102" i="12821"/>
  <c r="M102" i="12821"/>
  <c r="G103" i="12821"/>
  <c r="H103" i="12821"/>
  <c r="I103" i="12821"/>
  <c r="J103" i="12821"/>
  <c r="K103" i="12821"/>
  <c r="L103" i="12821"/>
  <c r="M103" i="12821"/>
  <c r="G104" i="12821"/>
  <c r="H104" i="12821"/>
  <c r="I104" i="12821"/>
  <c r="J104" i="12821"/>
  <c r="K104" i="12821"/>
  <c r="L104" i="12821"/>
  <c r="M104" i="12821"/>
  <c r="S104" i="12821"/>
  <c r="G105" i="12821"/>
  <c r="H105" i="12821"/>
  <c r="I105" i="12821"/>
  <c r="J105" i="12821"/>
  <c r="K105" i="12821"/>
  <c r="L105" i="12821"/>
  <c r="M105" i="12821"/>
  <c r="S105" i="12821"/>
  <c r="G106" i="12821"/>
  <c r="H106" i="12821"/>
  <c r="I106" i="12821"/>
  <c r="J106" i="12821"/>
  <c r="K106" i="12821"/>
  <c r="L106" i="12821"/>
  <c r="M106" i="12821"/>
  <c r="S106" i="12821"/>
  <c r="U106" i="12821"/>
  <c r="V106" i="12821" a="1"/>
  <c r="V106" i="12821"/>
  <c r="G107" i="12821"/>
  <c r="H107" i="12821"/>
  <c r="I107" i="12821"/>
  <c r="J107" i="12821"/>
  <c r="K107" i="12821"/>
  <c r="L107" i="12821"/>
  <c r="M107" i="12821"/>
  <c r="S107" i="12821"/>
  <c r="U107" i="12821" a="1"/>
  <c r="U107" i="12821"/>
  <c r="V107" i="12821" a="1"/>
  <c r="V107" i="12821"/>
  <c r="G108" i="12821"/>
  <c r="H108" i="12821"/>
  <c r="I108" i="12821"/>
  <c r="J108" i="12821"/>
  <c r="K108" i="12821"/>
  <c r="L108" i="12821"/>
  <c r="M108" i="12821"/>
  <c r="S108" i="12821"/>
  <c r="U108" i="12821" a="1"/>
  <c r="U108" i="12821"/>
  <c r="V108" i="12821" a="1"/>
  <c r="V108" i="12821"/>
  <c r="G109" i="12821"/>
  <c r="H109" i="12821"/>
  <c r="I109" i="12821"/>
  <c r="J109" i="12821"/>
  <c r="K109" i="12821"/>
  <c r="L109" i="12821"/>
  <c r="M109" i="12821"/>
  <c r="S109" i="12821"/>
  <c r="U109" i="12821" a="1"/>
  <c r="U109" i="12821"/>
  <c r="V109" i="12821" a="1"/>
  <c r="V109" i="12821"/>
  <c r="G110" i="12821"/>
  <c r="H110" i="12821"/>
  <c r="I110" i="12821"/>
  <c r="J110" i="12821"/>
  <c r="K110" i="12821"/>
  <c r="L110" i="12821"/>
  <c r="M110" i="12821"/>
  <c r="G111" i="12821"/>
  <c r="H111" i="12821"/>
  <c r="I111" i="12821"/>
  <c r="J111" i="12821"/>
  <c r="K111" i="12821"/>
  <c r="L111" i="12821"/>
  <c r="M111" i="12821"/>
  <c r="G112" i="12821"/>
  <c r="H112" i="12821"/>
  <c r="I112" i="12821"/>
  <c r="J112" i="12821"/>
  <c r="K112" i="12821"/>
  <c r="L112" i="12821"/>
  <c r="M112" i="12821"/>
  <c r="S115" i="12821"/>
  <c r="V115" i="12821"/>
  <c r="W115" i="12821"/>
  <c r="S116" i="12821"/>
  <c r="V116" i="12821"/>
  <c r="W116" i="12821"/>
  <c r="S117" i="12821"/>
  <c r="V117" i="12821"/>
  <c r="W117" i="12821"/>
  <c r="S118" i="12821"/>
  <c r="V118" i="12821"/>
  <c r="W118" i="12821"/>
  <c r="S119" i="12821"/>
  <c r="V119" i="12821"/>
  <c r="W119" i="12821"/>
  <c r="S120" i="12821"/>
  <c r="V120" i="12821"/>
  <c r="W120" i="12821"/>
  <c r="S121" i="12821"/>
  <c r="V121" i="12821"/>
  <c r="W121" i="12821"/>
  <c r="S122" i="12821"/>
  <c r="V122" i="12821"/>
  <c r="W122" i="12821"/>
  <c r="S123" i="12821"/>
  <c r="V123" i="12821"/>
  <c r="W123" i="12821"/>
  <c r="AF123" i="12821"/>
  <c r="S124" i="12821"/>
  <c r="V124" i="12821"/>
  <c r="W124" i="12821"/>
  <c r="S125" i="12821"/>
  <c r="V125" i="12821"/>
  <c r="W125" i="12821"/>
  <c r="AF125" i="12821"/>
  <c r="S133" i="12821"/>
  <c r="T133" i="12821"/>
  <c r="S134" i="12821"/>
  <c r="T134" i="12821"/>
  <c r="S135" i="12821"/>
  <c r="T135" i="12821"/>
  <c r="S136" i="12821"/>
  <c r="T136" i="12821"/>
  <c r="S137" i="12821"/>
  <c r="T137" i="12821"/>
  <c r="S138" i="12821"/>
  <c r="T138" i="12821"/>
  <c r="S139" i="12821"/>
  <c r="T139" i="12821"/>
  <c r="S140" i="12821"/>
  <c r="T140" i="12821"/>
  <c r="S141" i="12821"/>
  <c r="T141" i="12821"/>
  <c r="S142" i="12821"/>
  <c r="T142" i="12821"/>
  <c r="S143" i="12821"/>
  <c r="T143" i="12821"/>
  <c r="S149" i="12821"/>
  <c r="T149" i="12821"/>
  <c r="S150" i="12821"/>
  <c r="T150" i="12821"/>
  <c r="S151" i="12821"/>
  <c r="T151" i="12821"/>
  <c r="S152" i="12821"/>
  <c r="T152" i="12821"/>
  <c r="S153" i="12821"/>
  <c r="T153" i="12821"/>
  <c r="S154" i="12821"/>
  <c r="T154" i="12821"/>
  <c r="S155" i="12821"/>
  <c r="T155" i="12821"/>
  <c r="S156" i="12821"/>
  <c r="T156" i="12821"/>
  <c r="S157" i="12821"/>
  <c r="T157" i="12821"/>
  <c r="S158" i="12821"/>
  <c r="T158" i="12821"/>
  <c r="S159" i="12821"/>
  <c r="T159" i="12821"/>
  <c r="S165" i="12821"/>
  <c r="T165" i="12821"/>
  <c r="S166" i="12821"/>
  <c r="T166" i="12821"/>
  <c r="S167" i="12821"/>
  <c r="T167" i="12821"/>
  <c r="S168" i="12821"/>
  <c r="T168" i="12821"/>
  <c r="S169" i="12821"/>
  <c r="T169" i="12821"/>
  <c r="S170" i="12821"/>
  <c r="T170" i="12821"/>
  <c r="S171" i="12821"/>
  <c r="T171" i="12821"/>
  <c r="S172" i="12821"/>
  <c r="T172" i="12821"/>
  <c r="S173" i="12821"/>
  <c r="T173" i="12821"/>
  <c r="S174" i="12821"/>
  <c r="T174" i="12821"/>
  <c r="S175" i="12821"/>
  <c r="T175" i="12821"/>
  <c r="S181" i="12821"/>
  <c r="S182" i="12821"/>
  <c r="S183" i="12821"/>
  <c r="U183" i="12821"/>
  <c r="V183" i="12821" a="1"/>
  <c r="V183" i="12821"/>
  <c r="S184" i="12821"/>
  <c r="U184" i="12821" a="1"/>
  <c r="U184" i="12821"/>
  <c r="V184" i="12821" a="1"/>
  <c r="V184" i="12821"/>
  <c r="S185" i="12821"/>
  <c r="U185" i="12821" a="1"/>
  <c r="U185" i="12821"/>
  <c r="V185" i="12821" a="1"/>
  <c r="V185" i="12821"/>
  <c r="S186" i="12821"/>
  <c r="U186" i="12821" a="1"/>
  <c r="U186" i="12821"/>
  <c r="V186" i="12821" a="1"/>
  <c r="V186" i="12821"/>
  <c r="S192" i="12821"/>
  <c r="V192" i="12821"/>
  <c r="W192" i="12821"/>
  <c r="X192" i="12821"/>
  <c r="Y192" i="12821" a="1"/>
  <c r="Y192" i="12821"/>
  <c r="S193" i="12821"/>
  <c r="V193" i="12821"/>
  <c r="W193" i="12821"/>
  <c r="X193" i="12821"/>
  <c r="Y193" i="12821" a="1"/>
  <c r="Y193" i="12821"/>
  <c r="S194" i="12821"/>
  <c r="V194" i="12821"/>
  <c r="W194" i="12821"/>
  <c r="X194" i="12821"/>
  <c r="Y194" i="12821" a="1"/>
  <c r="Y194" i="12821"/>
  <c r="S195" i="12821"/>
  <c r="V195" i="12821"/>
  <c r="W195" i="12821"/>
  <c r="X195" i="12821"/>
  <c r="Y195" i="12821" a="1"/>
  <c r="Y195" i="12821"/>
  <c r="S196" i="12821"/>
  <c r="V196" i="12821"/>
  <c r="W196" i="12821"/>
  <c r="S197" i="12821"/>
  <c r="V197" i="12821"/>
  <c r="W197" i="12821"/>
  <c r="S198" i="12821"/>
  <c r="V198" i="12821"/>
  <c r="W198" i="12821"/>
  <c r="S199" i="12821"/>
  <c r="V199" i="12821"/>
  <c r="W199" i="12821"/>
  <c r="X199" i="12821"/>
  <c r="Y199" i="12821"/>
  <c r="S200" i="12821"/>
  <c r="V200" i="12821"/>
  <c r="W200" i="12821"/>
  <c r="X200" i="12821"/>
  <c r="Y200" i="12821"/>
  <c r="AF200" i="12821"/>
  <c r="S201" i="12821"/>
  <c r="V201" i="12821"/>
  <c r="W201" i="12821"/>
  <c r="X201" i="12821" a="1"/>
  <c r="X201" i="12821"/>
  <c r="Y201" i="12821"/>
  <c r="S202" i="12821"/>
  <c r="V202" i="12821"/>
  <c r="W202" i="12821"/>
  <c r="X202" i="12821" a="1"/>
  <c r="X202" i="12821"/>
  <c r="Y202" i="12821"/>
  <c r="AF202" i="12821"/>
  <c r="S210" i="12821"/>
  <c r="T210" i="12821"/>
  <c r="S211" i="12821"/>
  <c r="T211" i="12821"/>
  <c r="S212" i="12821"/>
  <c r="T212" i="12821"/>
  <c r="S213" i="12821"/>
  <c r="T213" i="12821"/>
  <c r="S214" i="12821"/>
  <c r="T214" i="12821"/>
  <c r="S215" i="12821"/>
  <c r="T215" i="12821"/>
  <c r="S216" i="12821"/>
  <c r="T216" i="12821"/>
  <c r="S217" i="12821"/>
  <c r="T217" i="12821"/>
  <c r="S218" i="12821"/>
  <c r="T218" i="12821"/>
  <c r="S219" i="12821"/>
  <c r="T219" i="12821"/>
  <c r="S220" i="12821"/>
  <c r="T220" i="12821"/>
  <c r="S226" i="12821"/>
  <c r="T226" i="12821"/>
  <c r="S227" i="12821"/>
  <c r="T227" i="12821"/>
  <c r="S228" i="12821"/>
  <c r="T228" i="12821"/>
  <c r="S229" i="12821"/>
  <c r="T229" i="12821"/>
  <c r="S230" i="12821"/>
  <c r="T230" i="12821"/>
  <c r="S231" i="12821"/>
  <c r="T231" i="12821"/>
  <c r="S232" i="12821"/>
  <c r="T232" i="12821"/>
  <c r="S233" i="12821"/>
  <c r="T233" i="12821"/>
  <c r="S234" i="12821"/>
  <c r="T234" i="12821"/>
  <c r="S235" i="12821"/>
  <c r="T235" i="12821"/>
  <c r="S236" i="12821"/>
  <c r="T236" i="12821"/>
  <c r="S242" i="12821"/>
  <c r="T242" i="12821"/>
  <c r="S243" i="12821"/>
  <c r="T243" i="12821"/>
  <c r="S244" i="12821"/>
  <c r="T244" i="12821"/>
  <c r="S245" i="12821"/>
  <c r="T245" i="12821"/>
  <c r="S246" i="12821"/>
  <c r="T246" i="12821"/>
  <c r="S247" i="12821"/>
  <c r="T247" i="12821"/>
  <c r="S248" i="12821"/>
  <c r="T248" i="12821"/>
  <c r="S249" i="12821"/>
  <c r="T249" i="12821"/>
  <c r="S250" i="12821"/>
  <c r="T250" i="12821"/>
  <c r="S251" i="12821"/>
  <c r="T251" i="12821"/>
  <c r="S252" i="12821"/>
  <c r="T252" i="12821"/>
  <c r="T260" i="12821"/>
  <c r="T261" i="12821"/>
  <c r="F8" i="12822"/>
  <c r="G8" i="12822"/>
  <c r="H8" i="12822"/>
  <c r="I8" i="12822"/>
  <c r="J8" i="12822"/>
  <c r="K8" i="12822"/>
  <c r="L8" i="12822"/>
  <c r="F9" i="12822"/>
  <c r="G9" i="12822"/>
  <c r="H9" i="12822"/>
  <c r="I9" i="12822"/>
  <c r="J9" i="12822"/>
  <c r="K9" i="12822"/>
  <c r="L9" i="12822"/>
  <c r="F10" i="12822"/>
  <c r="G10" i="12822"/>
  <c r="H10" i="12822"/>
  <c r="I10" i="12822"/>
  <c r="J10" i="12822"/>
  <c r="K10" i="12822"/>
  <c r="L10" i="12822"/>
  <c r="F11" i="12822"/>
  <c r="G11" i="12822"/>
  <c r="H11" i="12822"/>
  <c r="I11" i="12822"/>
  <c r="J11" i="12822"/>
  <c r="K11" i="12822"/>
  <c r="L11" i="12822"/>
  <c r="F12" i="12822"/>
  <c r="G12" i="12822"/>
  <c r="H12" i="12822"/>
  <c r="I12" i="12822"/>
  <c r="J12" i="12822"/>
  <c r="K12" i="12822"/>
  <c r="L12" i="12822"/>
  <c r="F13" i="12822"/>
  <c r="G13" i="12822"/>
  <c r="H13" i="12822"/>
  <c r="I13" i="12822"/>
  <c r="J13" i="12822"/>
  <c r="K13" i="12822"/>
  <c r="L13" i="12822"/>
  <c r="F14" i="12822"/>
  <c r="G14" i="12822"/>
  <c r="H14" i="12822"/>
  <c r="I14" i="12822"/>
  <c r="J14" i="12822"/>
  <c r="K14" i="12822"/>
  <c r="L14" i="12822"/>
  <c r="F15" i="12822"/>
  <c r="G15" i="12822"/>
  <c r="H15" i="12822"/>
  <c r="I15" i="12822"/>
  <c r="J15" i="12822"/>
  <c r="K15" i="12822"/>
  <c r="L15" i="12822"/>
  <c r="F16" i="12822"/>
  <c r="G16" i="12822"/>
  <c r="H16" i="12822"/>
  <c r="I16" i="12822"/>
  <c r="J16" i="12822"/>
  <c r="K16" i="12822"/>
  <c r="L16" i="12822"/>
  <c r="F17" i="12822"/>
  <c r="G17" i="12822"/>
  <c r="H17" i="12822"/>
  <c r="I17" i="12822"/>
  <c r="J17" i="12822"/>
  <c r="K17" i="12822"/>
  <c r="L17" i="12822"/>
  <c r="F18" i="12822"/>
  <c r="G18" i="12822"/>
  <c r="H18" i="12822"/>
  <c r="I18" i="12822"/>
  <c r="J18" i="12822"/>
  <c r="K18" i="12822"/>
  <c r="L18" i="12822"/>
  <c r="F19" i="12822"/>
  <c r="G19" i="12822"/>
  <c r="H19" i="12822"/>
  <c r="I19" i="12822"/>
  <c r="J19" i="12822"/>
  <c r="K19" i="12822"/>
  <c r="L19" i="12822"/>
  <c r="F20" i="12822"/>
  <c r="G20" i="12822"/>
  <c r="H20" i="12822"/>
  <c r="I20" i="12822"/>
  <c r="J20" i="12822"/>
  <c r="K20" i="12822"/>
  <c r="L20" i="12822"/>
  <c r="F21" i="12822"/>
  <c r="G21" i="12822"/>
  <c r="H21" i="12822"/>
  <c r="I21" i="12822"/>
  <c r="J21" i="12822"/>
  <c r="K21" i="12822"/>
  <c r="L21" i="12822"/>
  <c r="F22" i="12822"/>
  <c r="G22" i="12822"/>
  <c r="H22" i="12822"/>
  <c r="I22" i="12822"/>
  <c r="J22" i="12822"/>
  <c r="K22" i="12822"/>
  <c r="L22" i="12822"/>
  <c r="F23" i="12822"/>
  <c r="G23" i="12822"/>
  <c r="H23" i="12822"/>
  <c r="I23" i="12822"/>
  <c r="J23" i="12822"/>
  <c r="K23" i="12822"/>
  <c r="L23" i="12822"/>
  <c r="F24" i="12822"/>
  <c r="G24" i="12822"/>
  <c r="H24" i="12822"/>
  <c r="I24" i="12822"/>
  <c r="J24" i="12822"/>
  <c r="K24" i="12822"/>
  <c r="L24" i="12822"/>
  <c r="F25" i="12822"/>
  <c r="G25" i="12822"/>
  <c r="H25" i="12822"/>
  <c r="I25" i="12822"/>
  <c r="J25" i="12822"/>
  <c r="K25" i="12822"/>
  <c r="L25" i="12822"/>
  <c r="F26" i="12822"/>
  <c r="G26" i="12822"/>
  <c r="H26" i="12822"/>
  <c r="I26" i="12822"/>
  <c r="J26" i="12822"/>
  <c r="K26" i="12822"/>
  <c r="L26" i="12822"/>
  <c r="F27" i="12822"/>
  <c r="G27" i="12822"/>
  <c r="H27" i="12822"/>
  <c r="I27" i="12822"/>
  <c r="J27" i="12822"/>
  <c r="K27" i="12822"/>
  <c r="L27" i="12822"/>
  <c r="F28" i="12822"/>
  <c r="G28" i="12822"/>
  <c r="H28" i="12822"/>
  <c r="I28" i="12822"/>
  <c r="J28" i="12822"/>
  <c r="K28" i="12822"/>
  <c r="L28" i="12822"/>
  <c r="S90" i="12822"/>
  <c r="S91" i="12822"/>
  <c r="S92" i="12822"/>
  <c r="S93" i="12822"/>
  <c r="S94" i="12822"/>
  <c r="U94" i="12822"/>
  <c r="V94" i="12822"/>
  <c r="S95" i="12822"/>
  <c r="U95" i="12822"/>
  <c r="V95" i="12822"/>
  <c r="S96" i="12822"/>
  <c r="U96" i="12822"/>
  <c r="V96" i="12822"/>
  <c r="S97" i="12822"/>
  <c r="U97" i="12822"/>
  <c r="V97" i="12822"/>
  <c r="S103" i="12822"/>
  <c r="V103" i="12822"/>
  <c r="W103" i="12822"/>
  <c r="S104" i="12822"/>
  <c r="V104" i="12822"/>
  <c r="W104" i="12822"/>
  <c r="S105" i="12822"/>
  <c r="V105" i="12822"/>
  <c r="W105" i="12822"/>
  <c r="S106" i="12822"/>
  <c r="V106" i="12822"/>
  <c r="W106" i="12822"/>
  <c r="S107" i="12822"/>
  <c r="V107" i="12822"/>
  <c r="W107" i="12822"/>
  <c r="S108" i="12822"/>
  <c r="V108" i="12822"/>
  <c r="W108" i="12822"/>
  <c r="S109" i="12822"/>
  <c r="V109" i="12822"/>
  <c r="W109" i="12822"/>
  <c r="S114" i="12822"/>
  <c r="V114" i="12822"/>
  <c r="W114" i="12822"/>
  <c r="S115" i="12822"/>
  <c r="V115" i="12822"/>
  <c r="W115" i="12822"/>
  <c r="S116" i="12822"/>
  <c r="V116" i="12822"/>
  <c r="W116" i="12822"/>
  <c r="S117" i="12822"/>
  <c r="T117" i="12822"/>
  <c r="S118" i="12822"/>
  <c r="T118" i="12822"/>
  <c r="S119" i="12822"/>
  <c r="T119" i="12822"/>
  <c r="S120" i="12822"/>
  <c r="T120" i="12822"/>
  <c r="S121" i="12822"/>
  <c r="T121" i="12822"/>
  <c r="S122" i="12822"/>
  <c r="T122" i="12822"/>
  <c r="S123" i="12822"/>
  <c r="T123" i="12822"/>
  <c r="S129" i="12822"/>
  <c r="T129" i="12822"/>
  <c r="S130" i="12822"/>
  <c r="T130" i="12822"/>
  <c r="S131" i="12822"/>
  <c r="T131" i="12822"/>
  <c r="S132" i="12822"/>
  <c r="T132" i="12822"/>
  <c r="S133" i="12822"/>
  <c r="T133" i="12822"/>
  <c r="S134" i="12822"/>
  <c r="T134" i="12822"/>
  <c r="S135" i="12822"/>
  <c r="T135" i="12822"/>
  <c r="S141" i="12822"/>
  <c r="T141" i="12822"/>
  <c r="S142" i="12822"/>
  <c r="T142" i="12822"/>
  <c r="S143" i="12822"/>
  <c r="T143" i="12822"/>
  <c r="S144" i="12822"/>
  <c r="T144" i="12822"/>
  <c r="S145" i="12822"/>
  <c r="T145" i="12822"/>
  <c r="S146" i="12822"/>
  <c r="T146" i="12822"/>
  <c r="S147" i="12822"/>
  <c r="T147" i="12822"/>
  <c r="S153" i="12822"/>
  <c r="S154" i="12822"/>
  <c r="S155" i="12822"/>
  <c r="S156" i="12822"/>
  <c r="S157" i="12822"/>
  <c r="U157" i="12822"/>
  <c r="V157" i="12822"/>
  <c r="S158" i="12822"/>
  <c r="U158" i="12822"/>
  <c r="V158" i="12822"/>
  <c r="S159" i="12822"/>
  <c r="U159" i="12822"/>
  <c r="V159" i="12822"/>
  <c r="S160" i="12822"/>
  <c r="U160" i="12822"/>
  <c r="V160" i="12822"/>
  <c r="S166" i="12822"/>
  <c r="V166" i="12822"/>
  <c r="W166" i="12822"/>
  <c r="X166" i="12822"/>
  <c r="Y166" i="12822"/>
  <c r="S167" i="12822"/>
  <c r="V167" i="12822"/>
  <c r="W167" i="12822"/>
  <c r="X167" i="12822"/>
  <c r="Y167" i="12822"/>
  <c r="S168" i="12822"/>
  <c r="V168" i="12822"/>
  <c r="W168" i="12822"/>
  <c r="X168" i="12822"/>
  <c r="Y168" i="12822"/>
  <c r="S169" i="12822"/>
  <c r="V169" i="12822"/>
  <c r="W169" i="12822"/>
  <c r="X169" i="12822"/>
  <c r="Y169" i="12822"/>
  <c r="S170" i="12822"/>
  <c r="V170" i="12822"/>
  <c r="W170" i="12822"/>
  <c r="X170" i="12822"/>
  <c r="Y170" i="12822"/>
  <c r="S171" i="12822"/>
  <c r="V171" i="12822"/>
  <c r="W171" i="12822"/>
  <c r="X171" i="12822"/>
  <c r="Y171" i="12822"/>
  <c r="S172" i="12822"/>
  <c r="V172" i="12822"/>
  <c r="W172" i="12822"/>
  <c r="X172" i="12822"/>
  <c r="Y172" i="12822"/>
  <c r="S177" i="12822"/>
  <c r="V177" i="12822"/>
  <c r="W177" i="12822"/>
  <c r="S178" i="12822"/>
  <c r="V178" i="12822"/>
  <c r="W178" i="12822"/>
  <c r="AA178" i="12822"/>
  <c r="S179" i="12822"/>
  <c r="V179" i="12822"/>
  <c r="W179" i="12822"/>
  <c r="AA179" i="12822"/>
  <c r="S180" i="12822"/>
  <c r="T180" i="12822"/>
  <c r="S181" i="12822"/>
  <c r="T181" i="12822"/>
  <c r="S182" i="12822"/>
  <c r="T182" i="12822"/>
  <c r="S183" i="12822"/>
  <c r="T183" i="12822"/>
  <c r="S184" i="12822"/>
  <c r="T184" i="12822"/>
  <c r="S185" i="12822"/>
  <c r="T185" i="12822"/>
  <c r="S186" i="12822"/>
  <c r="T186" i="12822"/>
  <c r="S192" i="12822"/>
  <c r="T192" i="12822"/>
  <c r="S193" i="12822"/>
  <c r="T193" i="12822"/>
  <c r="S194" i="12822"/>
  <c r="T194" i="12822"/>
  <c r="S195" i="12822"/>
  <c r="T195" i="12822"/>
  <c r="S196" i="12822"/>
  <c r="T196" i="12822"/>
  <c r="S197" i="12822"/>
  <c r="T197" i="12822"/>
  <c r="S198" i="12822"/>
  <c r="T198" i="12822"/>
  <c r="S204" i="12822"/>
  <c r="T204" i="12822"/>
  <c r="S205" i="12822"/>
  <c r="T205" i="12822"/>
  <c r="S206" i="12822"/>
  <c r="T206" i="12822"/>
  <c r="S207" i="12822"/>
  <c r="T207" i="12822"/>
  <c r="S208" i="12822"/>
  <c r="T208" i="12822"/>
  <c r="S209" i="12822"/>
  <c r="T209" i="12822"/>
  <c r="S210" i="12822"/>
  <c r="T210" i="12822"/>
  <c r="T218" i="12822"/>
  <c r="T219" i="12822"/>
  <c r="S48" i="12823"/>
  <c r="S49" i="12823"/>
  <c r="G50" i="12823"/>
  <c r="H50" i="12823"/>
  <c r="I50" i="12823"/>
  <c r="J50" i="12823"/>
  <c r="K50" i="12823"/>
  <c r="L50" i="12823"/>
  <c r="M50" i="12823"/>
  <c r="S50" i="12823"/>
  <c r="G51" i="12823"/>
  <c r="H51" i="12823"/>
  <c r="I51" i="12823"/>
  <c r="J51" i="12823"/>
  <c r="K51" i="12823"/>
  <c r="L51" i="12823"/>
  <c r="M51" i="12823"/>
  <c r="S51" i="12823"/>
  <c r="G52" i="12823"/>
  <c r="H52" i="12823"/>
  <c r="I52" i="12823"/>
  <c r="J52" i="12823"/>
  <c r="K52" i="12823"/>
  <c r="L52" i="12823"/>
  <c r="M52" i="12823"/>
  <c r="S52" i="12823"/>
  <c r="U52" i="12823"/>
  <c r="V52" i="12823"/>
  <c r="G53" i="12823"/>
  <c r="H53" i="12823"/>
  <c r="I53" i="12823"/>
  <c r="J53" i="12823"/>
  <c r="K53" i="12823"/>
  <c r="L53" i="12823"/>
  <c r="M53" i="12823"/>
  <c r="S53" i="12823"/>
  <c r="U53" i="12823"/>
  <c r="V53" i="12823"/>
  <c r="G54" i="12823"/>
  <c r="H54" i="12823"/>
  <c r="I54" i="12823"/>
  <c r="J54" i="12823"/>
  <c r="K54" i="12823"/>
  <c r="L54" i="12823"/>
  <c r="M54" i="12823"/>
  <c r="S54" i="12823"/>
  <c r="U54" i="12823"/>
  <c r="V54" i="12823"/>
  <c r="G55" i="12823"/>
  <c r="H55" i="12823"/>
  <c r="I55" i="12823"/>
  <c r="J55" i="12823"/>
  <c r="K55" i="12823"/>
  <c r="L55" i="12823"/>
  <c r="M55" i="12823"/>
  <c r="G56" i="12823"/>
  <c r="H56" i="12823"/>
  <c r="I56" i="12823"/>
  <c r="J56" i="12823"/>
  <c r="K56" i="12823"/>
  <c r="L56" i="12823"/>
  <c r="M56" i="12823"/>
  <c r="G57" i="12823"/>
  <c r="H57" i="12823"/>
  <c r="I57" i="12823"/>
  <c r="J57" i="12823"/>
  <c r="K57" i="12823"/>
  <c r="L57" i="12823"/>
  <c r="M57" i="12823"/>
  <c r="G58" i="12823"/>
  <c r="H58" i="12823"/>
  <c r="I58" i="12823"/>
  <c r="J58" i="12823"/>
  <c r="K58" i="12823"/>
  <c r="L58" i="12823"/>
  <c r="M58" i="12823"/>
  <c r="G59" i="12823"/>
  <c r="H59" i="12823"/>
  <c r="I59" i="12823"/>
  <c r="J59" i="12823"/>
  <c r="K59" i="12823"/>
  <c r="L59" i="12823"/>
  <c r="M59" i="12823"/>
  <c r="G60" i="12823"/>
  <c r="H60" i="12823"/>
  <c r="I60" i="12823"/>
  <c r="J60" i="12823"/>
  <c r="K60" i="12823"/>
  <c r="L60" i="12823"/>
  <c r="M60" i="12823"/>
  <c r="S60" i="12823"/>
  <c r="V60" i="12823"/>
  <c r="W60" i="12823"/>
  <c r="G61" i="12823"/>
  <c r="H61" i="12823"/>
  <c r="I61" i="12823"/>
  <c r="J61" i="12823"/>
  <c r="K61" i="12823"/>
  <c r="L61" i="12823"/>
  <c r="M61" i="12823"/>
  <c r="S61" i="12823"/>
  <c r="V61" i="12823"/>
  <c r="W61" i="12823"/>
  <c r="G62" i="12823"/>
  <c r="H62" i="12823"/>
  <c r="I62" i="12823"/>
  <c r="J62" i="12823"/>
  <c r="K62" i="12823"/>
  <c r="L62" i="12823"/>
  <c r="M62" i="12823"/>
  <c r="S62" i="12823"/>
  <c r="V62" i="12823"/>
  <c r="W62" i="12823"/>
  <c r="G63" i="12823"/>
  <c r="H63" i="12823"/>
  <c r="I63" i="12823"/>
  <c r="J63" i="12823"/>
  <c r="K63" i="12823"/>
  <c r="L63" i="12823"/>
  <c r="M63" i="12823"/>
  <c r="S63" i="12823"/>
  <c r="V63" i="12823"/>
  <c r="W63" i="12823"/>
  <c r="G64" i="12823"/>
  <c r="H64" i="12823"/>
  <c r="I64" i="12823"/>
  <c r="J64" i="12823"/>
  <c r="K64" i="12823"/>
  <c r="L64" i="12823"/>
  <c r="M64" i="12823"/>
  <c r="S64" i="12823"/>
  <c r="V64" i="12823"/>
  <c r="W64" i="12823"/>
  <c r="G65" i="12823"/>
  <c r="H65" i="12823"/>
  <c r="I65" i="12823"/>
  <c r="J65" i="12823"/>
  <c r="K65" i="12823"/>
  <c r="L65" i="12823"/>
  <c r="M65" i="12823"/>
  <c r="S65" i="12823"/>
  <c r="V65" i="12823"/>
  <c r="W65" i="12823"/>
  <c r="G66" i="12823"/>
  <c r="H66" i="12823"/>
  <c r="I66" i="12823"/>
  <c r="J66" i="12823"/>
  <c r="K66" i="12823"/>
  <c r="L66" i="12823"/>
  <c r="M66" i="12823"/>
  <c r="S66" i="12823"/>
  <c r="V66" i="12823"/>
  <c r="W66" i="12823"/>
  <c r="G67" i="12823"/>
  <c r="H67" i="12823"/>
  <c r="I67" i="12823"/>
  <c r="J67" i="12823"/>
  <c r="K67" i="12823"/>
  <c r="L67" i="12823"/>
  <c r="M67" i="12823"/>
  <c r="S67" i="12823"/>
  <c r="V67" i="12823"/>
  <c r="W67" i="12823"/>
  <c r="S68" i="12823"/>
  <c r="V68" i="12823"/>
  <c r="W68" i="12823"/>
  <c r="S69" i="12823"/>
  <c r="V69" i="12823"/>
  <c r="W69" i="12823"/>
  <c r="S74" i="12823"/>
  <c r="T74" i="12823"/>
  <c r="S75" i="12823"/>
  <c r="T75" i="12823"/>
  <c r="S76" i="12823"/>
  <c r="T76" i="12823"/>
  <c r="S77" i="12823"/>
  <c r="T77" i="12823"/>
  <c r="S78" i="12823"/>
  <c r="T78" i="12823"/>
  <c r="S79" i="12823"/>
  <c r="T79" i="12823"/>
  <c r="S80" i="12823"/>
  <c r="T80" i="12823"/>
  <c r="S81" i="12823"/>
  <c r="T81" i="12823"/>
  <c r="S82" i="12823"/>
  <c r="T82" i="12823"/>
  <c r="S83" i="12823"/>
  <c r="T83" i="12823"/>
  <c r="S89" i="12823"/>
  <c r="S90" i="12823"/>
  <c r="S91" i="12823"/>
  <c r="S92" i="12823"/>
  <c r="S93" i="12823"/>
  <c r="U93" i="12823"/>
  <c r="V93" i="12823"/>
  <c r="S94" i="12823"/>
  <c r="U94" i="12823"/>
  <c r="V94" i="12823"/>
  <c r="S95" i="12823"/>
  <c r="U95" i="12823"/>
  <c r="V95" i="12823"/>
  <c r="S101" i="12823"/>
  <c r="V101" i="12823"/>
  <c r="W101" i="12823"/>
  <c r="X101" i="12823"/>
  <c r="Y101" i="12823"/>
  <c r="S102" i="12823"/>
  <c r="V102" i="12823"/>
  <c r="W102" i="12823"/>
  <c r="X102" i="12823"/>
  <c r="Y102" i="12823"/>
  <c r="S103" i="12823"/>
  <c r="V103" i="12823"/>
  <c r="W103" i="12823"/>
  <c r="X103" i="12823"/>
  <c r="Y103" i="12823"/>
  <c r="S104" i="12823"/>
  <c r="V104" i="12823"/>
  <c r="W104" i="12823"/>
  <c r="X104" i="12823"/>
  <c r="Y104" i="12823"/>
  <c r="S105" i="12823"/>
  <c r="V105" i="12823"/>
  <c r="W105" i="12823"/>
  <c r="X105" i="12823"/>
  <c r="Y105" i="12823"/>
  <c r="S106" i="12823"/>
  <c r="V106" i="12823"/>
  <c r="W106" i="12823"/>
  <c r="X106" i="12823"/>
  <c r="Y106" i="12823"/>
  <c r="S107" i="12823"/>
  <c r="V107" i="12823"/>
  <c r="W107" i="12823"/>
  <c r="X107" i="12823"/>
  <c r="Y107" i="12823"/>
  <c r="S108" i="12823"/>
  <c r="V108" i="12823"/>
  <c r="W108" i="12823"/>
  <c r="X108" i="12823"/>
  <c r="Y108" i="12823"/>
  <c r="S109" i="12823"/>
  <c r="V109" i="12823"/>
  <c r="W109" i="12823"/>
  <c r="X109" i="12823"/>
  <c r="Y109" i="12823"/>
  <c r="S110" i="12823"/>
  <c r="V110" i="12823"/>
  <c r="W110" i="12823"/>
  <c r="S115" i="12823"/>
  <c r="T115" i="12823"/>
  <c r="S116" i="12823"/>
  <c r="T116" i="12823"/>
  <c r="S117" i="12823"/>
  <c r="T117" i="12823"/>
  <c r="S118" i="12823"/>
  <c r="T118" i="12823"/>
  <c r="S119" i="12823"/>
  <c r="T119" i="12823"/>
  <c r="S120" i="12823"/>
  <c r="T120" i="12823"/>
  <c r="S121" i="12823"/>
  <c r="T121" i="12823"/>
  <c r="S122" i="12823"/>
  <c r="T122" i="12823"/>
  <c r="S123" i="12823"/>
  <c r="T123" i="12823"/>
  <c r="S124" i="12823"/>
  <c r="T124" i="12823"/>
  <c r="T132" i="12823"/>
  <c r="T133" i="12823"/>
  <c r="F24" i="12824"/>
  <c r="F25" i="12824"/>
  <c r="G25" i="12824"/>
  <c r="F26" i="12824"/>
  <c r="G26" i="12824"/>
  <c r="F27" i="12824"/>
  <c r="G27" i="12824"/>
  <c r="F28" i="12824"/>
  <c r="G28" i="12824"/>
  <c r="F29" i="12824"/>
  <c r="G29" i="12824"/>
  <c r="F30" i="12824"/>
  <c r="G30" i="12824"/>
  <c r="F31" i="12824"/>
  <c r="G31" i="12824"/>
  <c r="F32" i="12824"/>
  <c r="G32" i="12824"/>
  <c r="F33" i="12824"/>
  <c r="G33" i="12824"/>
  <c r="F34" i="12824"/>
  <c r="G34" i="12824"/>
  <c r="F35" i="12824"/>
  <c r="G35" i="12824"/>
  <c r="F36" i="12824"/>
  <c r="G36" i="12824"/>
  <c r="F38" i="12824"/>
  <c r="F39" i="12824"/>
  <c r="G39" i="12824"/>
  <c r="F40" i="12824"/>
  <c r="G40" i="12824"/>
  <c r="F41" i="12824"/>
  <c r="G41" i="12824"/>
  <c r="F42" i="12824"/>
  <c r="G42" i="12824"/>
  <c r="F43" i="12824"/>
  <c r="G43" i="12824"/>
  <c r="F44" i="12824"/>
  <c r="G44" i="12824"/>
  <c r="F45" i="12824"/>
  <c r="G45" i="12824"/>
  <c r="F46" i="12824"/>
  <c r="G46" i="12824"/>
  <c r="F47" i="12824"/>
  <c r="G47" i="12824"/>
  <c r="F48" i="12824"/>
  <c r="G48" i="12824"/>
  <c r="F49" i="12824"/>
  <c r="G49" i="12824"/>
  <c r="F50" i="12824"/>
  <c r="G50" i="12824"/>
  <c r="G54" i="12824"/>
  <c r="G55" i="12824"/>
  <c r="G8" i="12825"/>
  <c r="H8" i="12825"/>
  <c r="I8" i="12825"/>
  <c r="J8" i="12825"/>
  <c r="K8" i="12825"/>
  <c r="L8" i="12825"/>
  <c r="M8" i="12825"/>
  <c r="G9" i="12825"/>
  <c r="H9" i="12825"/>
  <c r="I9" i="12825"/>
  <c r="J9" i="12825"/>
  <c r="K9" i="12825"/>
  <c r="L9" i="12825"/>
  <c r="M9" i="12825"/>
  <c r="G10" i="12825"/>
  <c r="H10" i="12825"/>
  <c r="I10" i="12825"/>
  <c r="J10" i="12825"/>
  <c r="K10" i="12825"/>
  <c r="L10" i="12825"/>
  <c r="M10" i="12825"/>
  <c r="G11" i="12825"/>
  <c r="H11" i="12825"/>
  <c r="I11" i="12825"/>
  <c r="J11" i="12825"/>
  <c r="K11" i="12825"/>
  <c r="L11" i="12825"/>
  <c r="M11" i="12825"/>
  <c r="G12" i="12825"/>
  <c r="H12" i="12825"/>
  <c r="I12" i="12825"/>
  <c r="J12" i="12825"/>
  <c r="K12" i="12825"/>
  <c r="L12" i="12825"/>
  <c r="M12" i="12825"/>
  <c r="G13" i="12825"/>
  <c r="H13" i="12825"/>
  <c r="I13" i="12825"/>
  <c r="J13" i="12825"/>
  <c r="K13" i="12825"/>
  <c r="L13" i="12825"/>
  <c r="M13" i="12825"/>
  <c r="G14" i="12825"/>
  <c r="H14" i="12825"/>
  <c r="I14" i="12825"/>
  <c r="J14" i="12825"/>
  <c r="K14" i="12825"/>
  <c r="L14" i="12825"/>
  <c r="M14" i="12825"/>
  <c r="G15" i="12825"/>
  <c r="H15" i="12825"/>
  <c r="I15" i="12825"/>
  <c r="J15" i="12825"/>
  <c r="K15" i="12825"/>
  <c r="L15" i="12825"/>
  <c r="M15" i="12825"/>
  <c r="G16" i="12825"/>
  <c r="H16" i="12825"/>
  <c r="I16" i="12825"/>
  <c r="J16" i="12825"/>
  <c r="K16" i="12825"/>
  <c r="L16" i="12825"/>
  <c r="M16" i="12825"/>
  <c r="G17" i="12825"/>
  <c r="H17" i="12825"/>
  <c r="I17" i="12825"/>
  <c r="J17" i="12825"/>
  <c r="K17" i="12825"/>
  <c r="L17" i="12825"/>
  <c r="M17" i="12825"/>
  <c r="G18" i="12825"/>
  <c r="H18" i="12825"/>
  <c r="I18" i="12825"/>
  <c r="J18" i="12825"/>
  <c r="K18" i="12825"/>
  <c r="L18" i="12825"/>
  <c r="M18" i="12825"/>
  <c r="G19" i="12825"/>
  <c r="H19" i="12825"/>
  <c r="I19" i="12825"/>
  <c r="J19" i="12825"/>
  <c r="K19" i="12825"/>
  <c r="L19" i="12825"/>
  <c r="M19" i="12825"/>
  <c r="G21" i="12825"/>
  <c r="H21" i="12825"/>
  <c r="I21" i="12825"/>
  <c r="J21" i="12825"/>
  <c r="K21" i="12825"/>
  <c r="L21" i="12825"/>
  <c r="M21" i="12825"/>
  <c r="G22" i="12825"/>
  <c r="H22" i="12825"/>
  <c r="I22" i="12825"/>
  <c r="J22" i="12825"/>
  <c r="K22" i="12825"/>
  <c r="L22" i="12825"/>
  <c r="M22" i="12825"/>
  <c r="G23" i="12825"/>
  <c r="H23" i="12825"/>
  <c r="I23" i="12825"/>
  <c r="J23" i="12825"/>
  <c r="K23" i="12825"/>
  <c r="L23" i="12825"/>
  <c r="M23" i="12825"/>
  <c r="G24" i="12825"/>
  <c r="H24" i="12825"/>
  <c r="I24" i="12825"/>
  <c r="J24" i="12825"/>
  <c r="K24" i="12825"/>
  <c r="L24" i="12825"/>
  <c r="M24" i="12825"/>
  <c r="G25" i="12825"/>
  <c r="H25" i="12825"/>
  <c r="I25" i="12825"/>
  <c r="J25" i="12825"/>
  <c r="K25" i="12825"/>
  <c r="L25" i="12825"/>
  <c r="M25" i="12825"/>
  <c r="G26" i="12825"/>
  <c r="H26" i="12825"/>
  <c r="I26" i="12825"/>
  <c r="J26" i="12825"/>
  <c r="K26" i="12825"/>
  <c r="L26" i="12825"/>
  <c r="M26" i="12825"/>
  <c r="G27" i="12825"/>
  <c r="H27" i="12825"/>
  <c r="I27" i="12825"/>
  <c r="J27" i="12825"/>
  <c r="K27" i="12825"/>
  <c r="L27" i="12825"/>
  <c r="M27" i="12825"/>
  <c r="G28" i="12825"/>
  <c r="H28" i="12825"/>
  <c r="I28" i="12825"/>
  <c r="J28" i="12825"/>
  <c r="K28" i="12825"/>
  <c r="L28" i="12825"/>
  <c r="M28" i="12825"/>
  <c r="G29" i="12825"/>
  <c r="H29" i="12825"/>
  <c r="I29" i="12825"/>
  <c r="J29" i="12825"/>
  <c r="K29" i="12825"/>
  <c r="L29" i="12825"/>
  <c r="M29" i="12825"/>
  <c r="G30" i="12825"/>
  <c r="H30" i="12825"/>
  <c r="I30" i="12825"/>
  <c r="J30" i="12825"/>
  <c r="K30" i="12825"/>
  <c r="L30" i="12825"/>
  <c r="M30" i="12825"/>
  <c r="G31" i="12825"/>
  <c r="H31" i="12825"/>
  <c r="I31" i="12825"/>
  <c r="J31" i="12825"/>
  <c r="K31" i="12825"/>
  <c r="L31" i="12825"/>
  <c r="M31" i="12825"/>
  <c r="G32" i="12825"/>
  <c r="H32" i="12825"/>
  <c r="I32" i="12825"/>
  <c r="J32" i="12825"/>
  <c r="K32" i="12825"/>
  <c r="L32" i="12825"/>
  <c r="M32" i="12825"/>
  <c r="G34" i="12825"/>
  <c r="H34" i="12825"/>
  <c r="I34" i="12825"/>
  <c r="J34" i="12825"/>
  <c r="K34" i="12825"/>
  <c r="L34" i="12825"/>
  <c r="M34" i="12825"/>
  <c r="G35" i="12825"/>
  <c r="H35" i="12825"/>
  <c r="I35" i="12825"/>
  <c r="J35" i="12825"/>
  <c r="K35" i="12825"/>
  <c r="L35" i="12825"/>
  <c r="M35" i="12825"/>
  <c r="G36" i="12825"/>
  <c r="H36" i="12825"/>
  <c r="I36" i="12825"/>
  <c r="J36" i="12825"/>
  <c r="K36" i="12825"/>
  <c r="L36" i="12825"/>
  <c r="M36" i="12825"/>
  <c r="G37" i="12825"/>
  <c r="H37" i="12825"/>
  <c r="I37" i="12825"/>
  <c r="J37" i="12825"/>
  <c r="K37" i="12825"/>
  <c r="L37" i="12825"/>
  <c r="M37" i="12825"/>
  <c r="G38" i="12825"/>
  <c r="H38" i="12825"/>
  <c r="I38" i="12825"/>
  <c r="J38" i="12825"/>
  <c r="K38" i="12825"/>
  <c r="L38" i="12825"/>
  <c r="M38" i="12825"/>
  <c r="G39" i="12825"/>
  <c r="H39" i="12825"/>
  <c r="I39" i="12825"/>
  <c r="J39" i="12825"/>
  <c r="K39" i="12825"/>
  <c r="L39" i="12825"/>
  <c r="M39" i="12825"/>
  <c r="G40" i="12825"/>
  <c r="H40" i="12825"/>
  <c r="I40" i="12825"/>
  <c r="J40" i="12825"/>
  <c r="K40" i="12825"/>
  <c r="L40" i="12825"/>
  <c r="M40" i="12825"/>
  <c r="G41" i="12825"/>
  <c r="H41" i="12825"/>
  <c r="I41" i="12825"/>
  <c r="J41" i="12825"/>
  <c r="K41" i="12825"/>
  <c r="L41" i="12825"/>
  <c r="M41" i="12825"/>
  <c r="G42" i="12825"/>
  <c r="H42" i="12825"/>
  <c r="I42" i="12825"/>
  <c r="J42" i="12825"/>
  <c r="K42" i="12825"/>
  <c r="L42" i="12825"/>
  <c r="M42" i="12825"/>
  <c r="G43" i="12825"/>
  <c r="H43" i="12825"/>
  <c r="I43" i="12825"/>
  <c r="J43" i="12825"/>
  <c r="K43" i="12825"/>
  <c r="L43" i="12825"/>
  <c r="M43" i="12825"/>
  <c r="G44" i="12825"/>
  <c r="H44" i="12825"/>
  <c r="I44" i="12825"/>
  <c r="J44" i="12825"/>
  <c r="K44" i="12825"/>
  <c r="L44" i="12825"/>
  <c r="M44" i="12825"/>
  <c r="G45" i="12825"/>
  <c r="H45" i="12825"/>
  <c r="I45" i="12825"/>
  <c r="J45" i="12825"/>
  <c r="K45" i="12825"/>
  <c r="L45" i="12825"/>
  <c r="M45" i="12825"/>
  <c r="T82" i="12825"/>
  <c r="X82" i="12825"/>
  <c r="T83" i="12825"/>
  <c r="X83" i="12825"/>
  <c r="AA83" i="12825"/>
  <c r="AB83" i="12825"/>
  <c r="AC83" i="12825"/>
  <c r="T84" i="12825"/>
  <c r="X84" i="12825"/>
  <c r="T85" i="12825"/>
  <c r="X85" i="12825"/>
  <c r="T86" i="12825"/>
  <c r="V86" i="12825"/>
  <c r="W86" i="12825" a="1"/>
  <c r="W86" i="12825"/>
  <c r="X86" i="12825"/>
  <c r="Y86" i="12825"/>
  <c r="Z86" i="12825" a="1"/>
  <c r="Z86" i="12825"/>
  <c r="T87" i="12825"/>
  <c r="V87" i="12825"/>
  <c r="W87" i="12825" a="1"/>
  <c r="W87" i="12825"/>
  <c r="X87" i="12825"/>
  <c r="Y87" i="12825"/>
  <c r="Z87" i="12825" a="1"/>
  <c r="Z87" i="12825"/>
  <c r="T88" i="12825"/>
  <c r="V88" i="12825"/>
  <c r="W88" i="12825" a="1"/>
  <c r="W88" i="12825"/>
  <c r="X88" i="12825"/>
  <c r="Y88" i="12825"/>
  <c r="Z88" i="12825" a="1"/>
  <c r="Z88" i="12825"/>
  <c r="T89" i="12825"/>
  <c r="V89" i="12825"/>
  <c r="W89" i="12825" a="1"/>
  <c r="W89" i="12825"/>
  <c r="X89" i="12825"/>
  <c r="Y89" i="12825"/>
  <c r="Z89" i="12825" a="1"/>
  <c r="Z89" i="12825"/>
  <c r="T92" i="12825"/>
  <c r="W92" i="12825"/>
  <c r="X92" i="12825"/>
  <c r="T93" i="12825"/>
  <c r="W93" i="12825"/>
  <c r="X93" i="12825"/>
  <c r="T94" i="12825"/>
  <c r="W94" i="12825"/>
  <c r="X94" i="12825"/>
  <c r="T95" i="12825"/>
  <c r="W95" i="12825"/>
  <c r="X95" i="12825"/>
  <c r="T96" i="12825"/>
  <c r="W96" i="12825"/>
  <c r="X96" i="12825"/>
  <c r="T97" i="12825"/>
  <c r="W97" i="12825"/>
  <c r="X97" i="12825"/>
  <c r="T98" i="12825"/>
  <c r="W98" i="12825"/>
  <c r="X98" i="12825"/>
  <c r="AC98" i="12825"/>
  <c r="T100" i="12825"/>
  <c r="W100" i="12825"/>
  <c r="X100" i="12825"/>
  <c r="T101" i="12825"/>
  <c r="W101" i="12825"/>
  <c r="X101" i="12825"/>
  <c r="T102" i="12825"/>
  <c r="W102" i="12825"/>
  <c r="X102" i="12825"/>
  <c r="T103" i="12825"/>
  <c r="W103" i="12825"/>
  <c r="X103" i="12825"/>
  <c r="T104" i="12825"/>
  <c r="W104" i="12825"/>
  <c r="X104" i="12825"/>
  <c r="T105" i="12825"/>
  <c r="W105" i="12825"/>
  <c r="X105" i="12825"/>
  <c r="T106" i="12825"/>
  <c r="W106" i="12825"/>
  <c r="X106" i="12825"/>
  <c r="AC106" i="12825"/>
  <c r="T108" i="12825"/>
  <c r="W108" i="12825"/>
  <c r="X108" i="12825"/>
  <c r="T109" i="12825"/>
  <c r="W109" i="12825"/>
  <c r="X109" i="12825"/>
  <c r="T110" i="12825"/>
  <c r="W110" i="12825"/>
  <c r="X110" i="12825"/>
  <c r="T111" i="12825"/>
  <c r="W111" i="12825"/>
  <c r="X111" i="12825"/>
  <c r="T112" i="12825"/>
  <c r="W112" i="12825"/>
  <c r="X112" i="12825"/>
  <c r="AC112" i="12825"/>
  <c r="T114" i="12825"/>
  <c r="U114" i="12825"/>
  <c r="W114" i="12825"/>
  <c r="T115" i="12825"/>
  <c r="U115" i="12825"/>
  <c r="W115" i="12825"/>
  <c r="T116" i="12825"/>
  <c r="U116" i="12825"/>
  <c r="W116" i="12825"/>
  <c r="T117" i="12825"/>
  <c r="U117" i="12825"/>
  <c r="W117" i="12825"/>
  <c r="T118" i="12825"/>
  <c r="U118" i="12825"/>
  <c r="W118" i="12825"/>
  <c r="T119" i="12825"/>
  <c r="U119" i="12825"/>
  <c r="W119" i="12825"/>
  <c r="T120" i="12825"/>
  <c r="U120" i="12825"/>
  <c r="W120" i="12825"/>
  <c r="T122" i="12825"/>
  <c r="U122" i="12825"/>
  <c r="W122" i="12825"/>
  <c r="T123" i="12825"/>
  <c r="U123" i="12825"/>
  <c r="W123" i="12825"/>
  <c r="T124" i="12825"/>
  <c r="U124" i="12825"/>
  <c r="W124" i="12825"/>
  <c r="T125" i="12825"/>
  <c r="U125" i="12825"/>
  <c r="W125" i="12825"/>
  <c r="T126" i="12825"/>
  <c r="U126" i="12825"/>
  <c r="W126" i="12825"/>
  <c r="T127" i="12825"/>
  <c r="U127" i="12825"/>
  <c r="W127" i="12825"/>
  <c r="T128" i="12825"/>
  <c r="U128" i="12825"/>
  <c r="W128" i="12825"/>
  <c r="T131" i="12825"/>
  <c r="U131" i="12825"/>
  <c r="W131" i="12825"/>
  <c r="T132" i="12825"/>
  <c r="U132" i="12825"/>
  <c r="W132" i="12825"/>
  <c r="T133" i="12825"/>
  <c r="U133" i="12825"/>
  <c r="W133" i="12825"/>
  <c r="T134" i="12825"/>
  <c r="U134" i="12825"/>
  <c r="W134" i="12825"/>
  <c r="T135" i="12825"/>
  <c r="U135" i="12825"/>
  <c r="W135" i="12825"/>
  <c r="T136" i="12825"/>
  <c r="U136" i="12825"/>
  <c r="W136" i="12825"/>
  <c r="T137" i="12825"/>
  <c r="U137" i="12825"/>
  <c r="W137" i="12825"/>
  <c r="T139" i="12825"/>
  <c r="U139" i="12825"/>
  <c r="W139" i="12825"/>
  <c r="T140" i="12825"/>
  <c r="U140" i="12825"/>
  <c r="W140" i="12825"/>
  <c r="T141" i="12825"/>
  <c r="U141" i="12825"/>
  <c r="W141" i="12825"/>
  <c r="T142" i="12825"/>
  <c r="U142" i="12825"/>
  <c r="W142" i="12825"/>
  <c r="T143" i="12825"/>
  <c r="U143" i="12825"/>
  <c r="W143" i="12825"/>
  <c r="T144" i="12825"/>
  <c r="U144" i="12825"/>
  <c r="W144" i="12825"/>
  <c r="T145" i="12825"/>
  <c r="U145" i="12825"/>
  <c r="W145" i="12825"/>
  <c r="T148" i="12825"/>
  <c r="X148" i="12825"/>
  <c r="T149" i="12825"/>
  <c r="X149" i="12825"/>
  <c r="AA149" i="12825"/>
  <c r="AB149" i="12825"/>
  <c r="AC149" i="12825"/>
  <c r="T150" i="12825"/>
  <c r="X150" i="12825"/>
  <c r="T151" i="12825"/>
  <c r="X151" i="12825"/>
  <c r="T152" i="12825"/>
  <c r="V152" i="12825"/>
  <c r="W152" i="12825" a="1"/>
  <c r="W152" i="12825"/>
  <c r="X152" i="12825"/>
  <c r="Y152" i="12825"/>
  <c r="Z152" i="12825" a="1"/>
  <c r="Z152" i="12825"/>
  <c r="T153" i="12825"/>
  <c r="V153" i="12825"/>
  <c r="W153" i="12825" a="1"/>
  <c r="W153" i="12825"/>
  <c r="X153" i="12825"/>
  <c r="Y153" i="12825"/>
  <c r="Z153" i="12825" a="1"/>
  <c r="Z153" i="12825"/>
  <c r="T154" i="12825"/>
  <c r="V154" i="12825"/>
  <c r="W154" i="12825" a="1"/>
  <c r="W154" i="12825"/>
  <c r="X154" i="12825"/>
  <c r="Y154" i="12825"/>
  <c r="Z154" i="12825" a="1"/>
  <c r="Z154" i="12825"/>
  <c r="T155" i="12825"/>
  <c r="V155" i="12825"/>
  <c r="W155" i="12825" a="1"/>
  <c r="W155" i="12825"/>
  <c r="X155" i="12825"/>
  <c r="Y155" i="12825"/>
  <c r="Z155" i="12825" a="1"/>
  <c r="Z155" i="12825"/>
  <c r="T158" i="12825"/>
  <c r="W158" i="12825"/>
  <c r="X158" i="12825"/>
  <c r="Y158" i="12825"/>
  <c r="Z158" i="12825"/>
  <c r="T159" i="12825"/>
  <c r="W159" i="12825"/>
  <c r="X159" i="12825"/>
  <c r="Y159" i="12825"/>
  <c r="Z159" i="12825"/>
  <c r="T160" i="12825"/>
  <c r="W160" i="12825"/>
  <c r="X160" i="12825"/>
  <c r="Y160" i="12825"/>
  <c r="Z160" i="12825"/>
  <c r="T161" i="12825"/>
  <c r="W161" i="12825"/>
  <c r="X161" i="12825"/>
  <c r="Y161" i="12825"/>
  <c r="Z161" i="12825"/>
  <c r="T162" i="12825"/>
  <c r="W162" i="12825"/>
  <c r="X162" i="12825"/>
  <c r="Y162" i="12825"/>
  <c r="Z162" i="12825"/>
  <c r="T163" i="12825"/>
  <c r="W163" i="12825"/>
  <c r="X163" i="12825"/>
  <c r="Y163" i="12825"/>
  <c r="Z163" i="12825"/>
  <c r="AB163" i="12825"/>
  <c r="T164" i="12825"/>
  <c r="W164" i="12825"/>
  <c r="X164" i="12825"/>
  <c r="Y164" i="12825"/>
  <c r="Z164" i="12825"/>
  <c r="AB164" i="12825"/>
  <c r="AC164" i="12825"/>
  <c r="T166" i="12825"/>
  <c r="W166" i="12825"/>
  <c r="X166" i="12825"/>
  <c r="Y166" i="12825"/>
  <c r="Z166" i="12825"/>
  <c r="T167" i="12825"/>
  <c r="W167" i="12825"/>
  <c r="X167" i="12825"/>
  <c r="Y167" i="12825"/>
  <c r="Z167" i="12825"/>
  <c r="T168" i="12825"/>
  <c r="W168" i="12825"/>
  <c r="X168" i="12825"/>
  <c r="Y168" i="12825"/>
  <c r="Z168" i="12825"/>
  <c r="T169" i="12825"/>
  <c r="W169" i="12825"/>
  <c r="X169" i="12825"/>
  <c r="Y169" i="12825"/>
  <c r="Z169" i="12825"/>
  <c r="T170" i="12825"/>
  <c r="W170" i="12825"/>
  <c r="X170" i="12825"/>
  <c r="Y170" i="12825"/>
  <c r="Z170" i="12825"/>
  <c r="T171" i="12825"/>
  <c r="W171" i="12825"/>
  <c r="X171" i="12825"/>
  <c r="Y171" i="12825"/>
  <c r="Z171" i="12825"/>
  <c r="AB171" i="12825"/>
  <c r="T172" i="12825"/>
  <c r="W172" i="12825"/>
  <c r="X172" i="12825"/>
  <c r="Y172" i="12825"/>
  <c r="Z172" i="12825"/>
  <c r="AB172" i="12825"/>
  <c r="AC172" i="12825"/>
  <c r="T174" i="12825"/>
  <c r="W174" i="12825"/>
  <c r="X174" i="12825"/>
  <c r="T175" i="12825"/>
  <c r="W175" i="12825"/>
  <c r="X175" i="12825"/>
  <c r="T176" i="12825"/>
  <c r="W176" i="12825"/>
  <c r="X176" i="12825"/>
  <c r="T177" i="12825"/>
  <c r="W177" i="12825"/>
  <c r="X177" i="12825"/>
  <c r="T178" i="12825"/>
  <c r="W178" i="12825"/>
  <c r="X178" i="12825"/>
  <c r="AC178" i="12825"/>
  <c r="T180" i="12825"/>
  <c r="U180" i="12825"/>
  <c r="W180" i="12825"/>
  <c r="T181" i="12825"/>
  <c r="U181" i="12825"/>
  <c r="W181" i="12825"/>
  <c r="T182" i="12825"/>
  <c r="U182" i="12825"/>
  <c r="W182" i="12825"/>
  <c r="T183" i="12825"/>
  <c r="U183" i="12825"/>
  <c r="W183" i="12825"/>
  <c r="T184" i="12825"/>
  <c r="U184" i="12825"/>
  <c r="W184" i="12825"/>
  <c r="T185" i="12825"/>
  <c r="U185" i="12825"/>
  <c r="W185" i="12825"/>
  <c r="T186" i="12825"/>
  <c r="U186" i="12825"/>
  <c r="W186" i="12825"/>
  <c r="T188" i="12825"/>
  <c r="U188" i="12825"/>
  <c r="W188" i="12825"/>
  <c r="T189" i="12825"/>
  <c r="U189" i="12825"/>
  <c r="W189" i="12825"/>
  <c r="T190" i="12825"/>
  <c r="U190" i="12825"/>
  <c r="W190" i="12825"/>
  <c r="T191" i="12825"/>
  <c r="U191" i="12825"/>
  <c r="W191" i="12825"/>
  <c r="T192" i="12825"/>
  <c r="U192" i="12825"/>
  <c r="W192" i="12825"/>
  <c r="T193" i="12825"/>
  <c r="U193" i="12825"/>
  <c r="W193" i="12825"/>
  <c r="T194" i="12825"/>
  <c r="U194" i="12825"/>
  <c r="W194" i="12825"/>
  <c r="T197" i="12825"/>
  <c r="U197" i="12825"/>
  <c r="W197" i="12825"/>
  <c r="T198" i="12825"/>
  <c r="U198" i="12825"/>
  <c r="W198" i="12825"/>
  <c r="T199" i="12825"/>
  <c r="U199" i="12825"/>
  <c r="W199" i="12825"/>
  <c r="T200" i="12825"/>
  <c r="U200" i="12825"/>
  <c r="W200" i="12825"/>
  <c r="T201" i="12825"/>
  <c r="U201" i="12825"/>
  <c r="W201" i="12825"/>
  <c r="T202" i="12825"/>
  <c r="U202" i="12825"/>
  <c r="W202" i="12825"/>
  <c r="T203" i="12825"/>
  <c r="U203" i="12825"/>
  <c r="W203" i="12825"/>
  <c r="T205" i="12825"/>
  <c r="U205" i="12825"/>
  <c r="W205" i="12825"/>
  <c r="T206" i="12825"/>
  <c r="U206" i="12825"/>
  <c r="W206" i="12825"/>
  <c r="T207" i="12825"/>
  <c r="U207" i="12825"/>
  <c r="W207" i="12825"/>
  <c r="T208" i="12825"/>
  <c r="U208" i="12825"/>
  <c r="W208" i="12825"/>
  <c r="T209" i="12825"/>
  <c r="U209" i="12825"/>
  <c r="W209" i="12825"/>
  <c r="T210" i="12825"/>
  <c r="U210" i="12825"/>
  <c r="W210" i="12825"/>
  <c r="T211" i="12825"/>
  <c r="U211" i="12825"/>
  <c r="W211" i="12825"/>
  <c r="U218" i="12825"/>
  <c r="V218" i="12825"/>
  <c r="U219" i="12825"/>
  <c r="V219" i="12825"/>
  <c r="O24" i="12826"/>
  <c r="O25" i="12826"/>
  <c r="O26" i="12826"/>
  <c r="O27" i="12826"/>
  <c r="O28" i="12826"/>
  <c r="Q28" i="12826"/>
  <c r="R28" i="12826" a="1"/>
  <c r="R28" i="12826"/>
  <c r="O29" i="12826"/>
  <c r="Q29" i="12826"/>
  <c r="R29" i="12826" a="1"/>
  <c r="R29" i="12826"/>
  <c r="O30" i="12826"/>
  <c r="Q30" i="12826"/>
  <c r="R30" i="12826" a="1"/>
  <c r="R30" i="12826"/>
  <c r="O31" i="12826"/>
  <c r="Q31" i="12826"/>
  <c r="R31" i="12826" a="1"/>
  <c r="R31" i="12826"/>
  <c r="E34" i="12826"/>
  <c r="F34" i="12826"/>
  <c r="G34" i="12826"/>
  <c r="H34" i="12826"/>
  <c r="I34" i="12826"/>
  <c r="J34" i="12826"/>
  <c r="K34" i="12826"/>
  <c r="O34" i="12826"/>
  <c r="R34" i="12826"/>
  <c r="S34" i="12826"/>
  <c r="E35" i="12826"/>
  <c r="F35" i="12826"/>
  <c r="G35" i="12826"/>
  <c r="H35" i="12826"/>
  <c r="I35" i="12826"/>
  <c r="J35" i="12826"/>
  <c r="K35" i="12826"/>
  <c r="O35" i="12826"/>
  <c r="R35" i="12826"/>
  <c r="S35" i="12826"/>
  <c r="E36" i="12826"/>
  <c r="F36" i="12826"/>
  <c r="G36" i="12826"/>
  <c r="H36" i="12826"/>
  <c r="I36" i="12826"/>
  <c r="J36" i="12826"/>
  <c r="K36" i="12826"/>
  <c r="O36" i="12826"/>
  <c r="R36" i="12826"/>
  <c r="S36" i="12826"/>
  <c r="E37" i="12826"/>
  <c r="F37" i="12826"/>
  <c r="G37" i="12826"/>
  <c r="H37" i="12826"/>
  <c r="I37" i="12826"/>
  <c r="J37" i="12826"/>
  <c r="K37" i="12826"/>
  <c r="O37" i="12826"/>
  <c r="R37" i="12826"/>
  <c r="S37" i="12826"/>
  <c r="E38" i="12826"/>
  <c r="F38" i="12826"/>
  <c r="G38" i="12826"/>
  <c r="H38" i="12826"/>
  <c r="I38" i="12826"/>
  <c r="J38" i="12826"/>
  <c r="K38" i="12826"/>
  <c r="O38" i="12826"/>
  <c r="R38" i="12826"/>
  <c r="S38" i="12826"/>
  <c r="V38" i="12826"/>
  <c r="E39" i="12826"/>
  <c r="F39" i="12826"/>
  <c r="G39" i="12826"/>
  <c r="H39" i="12826"/>
  <c r="I39" i="12826"/>
  <c r="J39" i="12826"/>
  <c r="K39" i="12826"/>
  <c r="E40" i="12826"/>
  <c r="F40" i="12826"/>
  <c r="G40" i="12826"/>
  <c r="H40" i="12826"/>
  <c r="I40" i="12826"/>
  <c r="J40" i="12826"/>
  <c r="K40" i="12826"/>
  <c r="O40" i="12826"/>
  <c r="P40" i="12826"/>
  <c r="E41" i="12826"/>
  <c r="F41" i="12826"/>
  <c r="G41" i="12826"/>
  <c r="H41" i="12826"/>
  <c r="I41" i="12826"/>
  <c r="J41" i="12826"/>
  <c r="K41" i="12826"/>
  <c r="O41" i="12826"/>
  <c r="P41" i="12826"/>
  <c r="E42" i="12826"/>
  <c r="F42" i="12826"/>
  <c r="G42" i="12826"/>
  <c r="H42" i="12826"/>
  <c r="I42" i="12826"/>
  <c r="J42" i="12826"/>
  <c r="K42" i="12826"/>
  <c r="O42" i="12826"/>
  <c r="P42" i="12826"/>
  <c r="E43" i="12826"/>
  <c r="F43" i="12826"/>
  <c r="G43" i="12826"/>
  <c r="H43" i="12826"/>
  <c r="I43" i="12826"/>
  <c r="J43" i="12826"/>
  <c r="K43" i="12826"/>
  <c r="O43" i="12826"/>
  <c r="P43" i="12826"/>
  <c r="E44" i="12826"/>
  <c r="F44" i="12826"/>
  <c r="G44" i="12826"/>
  <c r="H44" i="12826"/>
  <c r="I44" i="12826"/>
  <c r="J44" i="12826"/>
  <c r="K44" i="12826"/>
  <c r="O44" i="12826"/>
  <c r="P44" i="12826"/>
  <c r="E45" i="12826"/>
  <c r="F45" i="12826"/>
  <c r="G45" i="12826"/>
  <c r="H45" i="12826"/>
  <c r="I45" i="12826"/>
  <c r="J45" i="12826"/>
  <c r="K45" i="12826"/>
  <c r="O47" i="12826"/>
  <c r="O48" i="12826"/>
  <c r="O49" i="12826"/>
  <c r="O50" i="12826"/>
  <c r="O51" i="12826"/>
  <c r="Q51" i="12826"/>
  <c r="R51" i="12826" a="1"/>
  <c r="R51" i="12826"/>
  <c r="O52" i="12826"/>
  <c r="Q52" i="12826"/>
  <c r="R52" i="12826" a="1"/>
  <c r="R52" i="12826"/>
  <c r="O53" i="12826"/>
  <c r="Q53" i="12826"/>
  <c r="R53" i="12826" a="1"/>
  <c r="R53" i="12826"/>
  <c r="O54" i="12826"/>
  <c r="Q54" i="12826"/>
  <c r="R54" i="12826" a="1"/>
  <c r="R54" i="12826"/>
  <c r="O57" i="12826"/>
  <c r="R57" i="12826"/>
  <c r="S57" i="12826"/>
  <c r="O58" i="12826"/>
  <c r="R58" i="12826"/>
  <c r="S58" i="12826"/>
  <c r="O59" i="12826"/>
  <c r="R59" i="12826"/>
  <c r="S59" i="12826"/>
  <c r="O60" i="12826"/>
  <c r="R60" i="12826"/>
  <c r="S60" i="12826"/>
  <c r="U60" i="12826"/>
  <c r="O61" i="12826"/>
  <c r="R61" i="12826"/>
  <c r="S61" i="12826"/>
  <c r="U61" i="12826"/>
  <c r="V61" i="12826"/>
  <c r="O63" i="12826"/>
  <c r="P63" i="12826"/>
  <c r="O64" i="12826"/>
  <c r="P64" i="12826"/>
  <c r="O65" i="12826"/>
  <c r="P65" i="12826"/>
  <c r="O66" i="12826"/>
  <c r="P66" i="12826"/>
  <c r="O67" i="12826"/>
  <c r="P67" i="12826"/>
  <c r="P72" i="12826"/>
  <c r="P73" i="12826"/>
  <c r="G8" i="12834"/>
  <c r="H8" i="12834"/>
  <c r="I8" i="12834"/>
  <c r="J8" i="12834"/>
  <c r="K8" i="12834"/>
  <c r="L8" i="12834"/>
  <c r="M8" i="12834"/>
  <c r="N8" i="12834"/>
  <c r="O8" i="12834"/>
  <c r="V8" i="12834"/>
  <c r="X8" i="12834"/>
  <c r="Y8" i="12834"/>
  <c r="AB8" i="12834"/>
  <c r="G9" i="12834"/>
  <c r="H9" i="12834"/>
  <c r="I9" i="12834"/>
  <c r="J9" i="12834"/>
  <c r="K9" i="12834"/>
  <c r="L9" i="12834"/>
  <c r="M9" i="12834"/>
  <c r="N9" i="12834"/>
  <c r="O9" i="12834"/>
  <c r="V9" i="12834"/>
  <c r="X9" i="12834"/>
  <c r="Y9" i="12834"/>
  <c r="AB9" i="12834"/>
  <c r="G10" i="12834"/>
  <c r="H10" i="12834"/>
  <c r="I10" i="12834"/>
  <c r="J10" i="12834"/>
  <c r="K10" i="12834"/>
  <c r="L10" i="12834"/>
  <c r="M10" i="12834"/>
  <c r="N10" i="12834"/>
  <c r="O10" i="12834"/>
  <c r="V10" i="12834"/>
  <c r="X10" i="12834"/>
  <c r="Y10" i="12834"/>
  <c r="AB10" i="12834"/>
  <c r="G11" i="12834"/>
  <c r="H11" i="12834"/>
  <c r="I11" i="12834"/>
  <c r="J11" i="12834"/>
  <c r="K11" i="12834"/>
  <c r="L11" i="12834"/>
  <c r="M11" i="12834"/>
  <c r="N11" i="12834"/>
  <c r="O11" i="12834"/>
  <c r="V11" i="12834"/>
  <c r="X11" i="12834"/>
  <c r="Y11" i="12834"/>
  <c r="AB11" i="12834"/>
  <c r="G12" i="12834"/>
  <c r="H12" i="12834"/>
  <c r="I12" i="12834"/>
  <c r="J12" i="12834"/>
  <c r="K12" i="12834"/>
  <c r="L12" i="12834"/>
  <c r="M12" i="12834"/>
  <c r="N12" i="12834"/>
  <c r="O12" i="12834"/>
  <c r="V12" i="12834"/>
  <c r="X12" i="12834"/>
  <c r="Y12" i="12834"/>
  <c r="AB12" i="12834"/>
  <c r="G13" i="12834"/>
  <c r="H13" i="12834"/>
  <c r="I13" i="12834"/>
  <c r="J13" i="12834"/>
  <c r="K13" i="12834"/>
  <c r="L13" i="12834"/>
  <c r="M13" i="12834"/>
  <c r="N13" i="12834"/>
  <c r="O13" i="12834"/>
  <c r="V13" i="12834"/>
  <c r="X13" i="12834"/>
  <c r="Y13" i="12834"/>
  <c r="AB13" i="12834"/>
  <c r="V14" i="12834"/>
  <c r="X14" i="12834"/>
  <c r="Y14" i="12834"/>
  <c r="AB14" i="12834"/>
  <c r="G15" i="12834"/>
  <c r="H15" i="12834"/>
  <c r="I15" i="12834"/>
  <c r="J15" i="12834"/>
  <c r="K15" i="12834"/>
  <c r="L15" i="12834"/>
  <c r="M15" i="12834"/>
  <c r="N15" i="12834"/>
  <c r="O15" i="12834"/>
  <c r="V15" i="12834"/>
  <c r="X15" i="12834"/>
  <c r="Y15" i="12834"/>
  <c r="AB15" i="12834"/>
  <c r="G16" i="12834"/>
  <c r="H16" i="12834"/>
  <c r="I16" i="12834"/>
  <c r="J16" i="12834"/>
  <c r="K16" i="12834"/>
  <c r="L16" i="12834"/>
  <c r="M16" i="12834"/>
  <c r="N16" i="12834"/>
  <c r="O16" i="12834"/>
  <c r="G17" i="12834"/>
  <c r="H17" i="12834"/>
  <c r="I17" i="12834"/>
  <c r="J17" i="12834"/>
  <c r="K17" i="12834"/>
  <c r="L17" i="12834"/>
  <c r="M17" i="12834"/>
  <c r="N17" i="12834"/>
  <c r="O17" i="12834"/>
  <c r="G18" i="12834"/>
  <c r="H18" i="12834"/>
  <c r="I18" i="12834"/>
  <c r="J18" i="12834"/>
  <c r="K18" i="12834"/>
  <c r="L18" i="12834"/>
  <c r="M18" i="12834"/>
  <c r="N18" i="12834"/>
  <c r="O18" i="12834"/>
  <c r="G19" i="12834"/>
  <c r="H19" i="12834"/>
  <c r="I19" i="12834"/>
  <c r="J19" i="12834"/>
  <c r="K19" i="12834"/>
  <c r="L19" i="12834"/>
  <c r="M19" i="12834"/>
  <c r="N19" i="12834"/>
  <c r="O19" i="12834"/>
  <c r="G25" i="12834"/>
  <c r="H25" i="12834"/>
  <c r="I25" i="12834"/>
  <c r="J25" i="12834"/>
  <c r="K25" i="12834"/>
  <c r="L25" i="12834"/>
  <c r="M25" i="12834"/>
  <c r="N25" i="12834"/>
  <c r="O25" i="12834"/>
  <c r="Q25" i="12834"/>
  <c r="R25" i="12834"/>
  <c r="Q26" i="12834"/>
  <c r="R26" i="12834"/>
  <c r="G33" i="12834"/>
  <c r="H33" i="12834"/>
  <c r="I33" i="12834"/>
  <c r="J33" i="12834"/>
  <c r="K33" i="12834"/>
  <c r="L33" i="12834"/>
  <c r="M33" i="12834"/>
  <c r="N33" i="12834"/>
  <c r="O33" i="12834"/>
  <c r="G34" i="12834"/>
  <c r="H34" i="12834"/>
  <c r="I34" i="12834"/>
  <c r="J34" i="12834"/>
  <c r="K34" i="12834"/>
  <c r="L34" i="12834"/>
  <c r="M34" i="12834"/>
  <c r="N34" i="12834"/>
  <c r="O34" i="12834"/>
  <c r="G35" i="12834"/>
  <c r="H35" i="12834"/>
  <c r="I35" i="12834"/>
  <c r="J35" i="12834"/>
  <c r="K35" i="12834"/>
  <c r="L35" i="12834"/>
  <c r="M35" i="12834"/>
  <c r="N35" i="12834"/>
  <c r="O35" i="12834"/>
  <c r="G36" i="12834"/>
  <c r="H36" i="12834"/>
  <c r="I36" i="12834"/>
  <c r="J36" i="12834"/>
  <c r="K36" i="12834"/>
  <c r="L36" i="12834"/>
  <c r="M36" i="12834"/>
  <c r="N36" i="12834"/>
  <c r="O36" i="12834"/>
  <c r="G40" i="12834"/>
  <c r="H40" i="12834"/>
  <c r="I40" i="12834"/>
  <c r="J40" i="12834"/>
  <c r="K40" i="12834"/>
  <c r="L40" i="12834"/>
  <c r="M40" i="12834"/>
  <c r="N40" i="12834"/>
  <c r="O40" i="12834"/>
  <c r="G42" i="12834"/>
  <c r="H42" i="12834"/>
  <c r="I42" i="12834"/>
  <c r="J42" i="12834"/>
  <c r="K42" i="12834"/>
  <c r="L42" i="12834"/>
  <c r="M42" i="12834"/>
  <c r="N42" i="12834"/>
  <c r="O42" i="12834"/>
  <c r="G43" i="12834"/>
  <c r="H43" i="12834"/>
  <c r="I43" i="12834"/>
  <c r="J43" i="12834"/>
  <c r="K43" i="12834"/>
  <c r="L43" i="12834"/>
  <c r="M43" i="12834"/>
  <c r="N43" i="12834"/>
  <c r="O43" i="12834"/>
  <c r="G44" i="12834"/>
  <c r="H44" i="12834"/>
  <c r="I44" i="12834"/>
  <c r="J44" i="12834"/>
  <c r="K44" i="12834"/>
  <c r="L44" i="12834"/>
  <c r="M44" i="12834"/>
  <c r="N44" i="12834"/>
  <c r="O44" i="12834"/>
  <c r="G45" i="12834"/>
  <c r="H45" i="12834"/>
  <c r="I45" i="12834"/>
  <c r="J45" i="12834"/>
  <c r="K45" i="12834"/>
  <c r="L45" i="12834"/>
  <c r="M45" i="12834"/>
  <c r="N45" i="12834"/>
  <c r="O45" i="12834"/>
  <c r="G46" i="12834"/>
  <c r="H46" i="12834"/>
  <c r="I46" i="12834"/>
  <c r="J46" i="12834"/>
  <c r="K46" i="12834"/>
  <c r="L46" i="12834"/>
  <c r="M46" i="12834"/>
  <c r="N46" i="12834"/>
  <c r="O46" i="12834"/>
  <c r="G50" i="12834"/>
  <c r="H50" i="12834"/>
  <c r="I50" i="12834"/>
  <c r="J50" i="12834"/>
  <c r="K50" i="12834"/>
  <c r="L50" i="12834"/>
  <c r="M50" i="12834"/>
  <c r="N50" i="12834"/>
  <c r="O50" i="12834"/>
  <c r="G52" i="12834"/>
  <c r="H52" i="12834"/>
  <c r="I52" i="12834"/>
  <c r="J52" i="12834"/>
  <c r="K52" i="12834"/>
  <c r="L52" i="12834"/>
  <c r="M52" i="12834"/>
  <c r="N52" i="12834"/>
  <c r="O52" i="12834"/>
  <c r="G53" i="12834"/>
  <c r="H53" i="12834"/>
  <c r="I53" i="12834"/>
  <c r="J53" i="12834"/>
  <c r="K53" i="12834"/>
  <c r="L53" i="12834"/>
  <c r="M53" i="12834"/>
  <c r="N53" i="12834"/>
  <c r="O53" i="12834"/>
  <c r="G54" i="12834"/>
  <c r="H54" i="12834"/>
  <c r="I54" i="12834"/>
  <c r="J54" i="12834"/>
  <c r="K54" i="12834"/>
  <c r="L54" i="12834"/>
  <c r="M54" i="12834"/>
  <c r="N54" i="12834"/>
  <c r="O54" i="12834"/>
  <c r="G55" i="12834"/>
  <c r="H55" i="12834"/>
  <c r="I55" i="12834"/>
  <c r="J55" i="12834"/>
  <c r="K55" i="12834"/>
  <c r="L55" i="12834"/>
  <c r="M55" i="12834"/>
  <c r="N55" i="12834"/>
  <c r="O55" i="12834"/>
  <c r="G56" i="12834"/>
  <c r="H56" i="12834"/>
  <c r="I56" i="12834"/>
  <c r="J56" i="12834"/>
  <c r="K56" i="12834"/>
  <c r="L56" i="12834"/>
  <c r="M56" i="12834"/>
  <c r="N56" i="12834"/>
  <c r="O56" i="12834"/>
  <c r="G60" i="12834"/>
  <c r="H60" i="12834"/>
  <c r="I60" i="12834"/>
  <c r="J60" i="12834"/>
  <c r="K60" i="12834"/>
  <c r="L60" i="12834"/>
  <c r="M60" i="12834"/>
  <c r="N60" i="12834"/>
  <c r="O60" i="12834"/>
  <c r="G62" i="12834"/>
  <c r="H62" i="12834"/>
  <c r="I62" i="12834"/>
  <c r="J62" i="12834"/>
  <c r="K62" i="12834"/>
  <c r="L62" i="12834"/>
  <c r="M62" i="12834"/>
  <c r="N62" i="12834"/>
  <c r="O62" i="12834"/>
  <c r="G66" i="12834"/>
  <c r="H66" i="12834"/>
  <c r="I66" i="12834"/>
  <c r="J66" i="12834"/>
  <c r="K66" i="12834"/>
  <c r="L66" i="12834"/>
  <c r="M66" i="12834"/>
  <c r="N66" i="12834"/>
  <c r="O66" i="12834"/>
  <c r="G68" i="12834"/>
  <c r="H68" i="12834"/>
  <c r="I68" i="12834"/>
  <c r="J68" i="12834"/>
  <c r="K68" i="12834"/>
  <c r="L68" i="12834"/>
  <c r="M68" i="12834"/>
  <c r="N68" i="12834"/>
  <c r="O68" i="12834"/>
  <c r="G69" i="12834"/>
  <c r="H69" i="12834"/>
  <c r="I69" i="12834"/>
  <c r="J69" i="12834"/>
  <c r="K69" i="12834"/>
  <c r="L69" i="12834"/>
  <c r="M69" i="12834"/>
  <c r="N69" i="12834"/>
  <c r="O69" i="12834"/>
  <c r="G71" i="12834"/>
  <c r="H71" i="12834"/>
  <c r="I71" i="12834"/>
  <c r="J71" i="12834"/>
  <c r="K71" i="12834"/>
  <c r="L71" i="12834"/>
  <c r="M71" i="12834"/>
  <c r="N71" i="12834"/>
  <c r="O71" i="12834"/>
  <c r="G73" i="12834"/>
  <c r="H73" i="12834"/>
  <c r="I73" i="12834"/>
  <c r="J73" i="12834"/>
  <c r="K73" i="12834"/>
  <c r="L73" i="12834"/>
  <c r="M73" i="12834"/>
  <c r="N73" i="12834"/>
  <c r="O73" i="128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P15223</author>
  </authors>
  <commentList>
    <comment ref="A1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<sst xmlns="http://schemas.openxmlformats.org/spreadsheetml/2006/main" count="11150" uniqueCount="647">
  <si>
    <t>Revenue</t>
  </si>
  <si>
    <t>Total</t>
  </si>
  <si>
    <t xml:space="preserve">Total </t>
  </si>
  <si>
    <t>Temperature</t>
  </si>
  <si>
    <t>Residential</t>
  </si>
  <si>
    <t>Commercial</t>
  </si>
  <si>
    <t>kWh</t>
  </si>
  <si>
    <t>Industrial</t>
  </si>
  <si>
    <t xml:space="preserve"> </t>
  </si>
  <si>
    <t>Rate</t>
  </si>
  <si>
    <t>Booked</t>
  </si>
  <si>
    <t>02RESD00016</t>
  </si>
  <si>
    <t>02RESD00018</t>
  </si>
  <si>
    <t>02OALTO15R</t>
  </si>
  <si>
    <t>02GNSV0024</t>
  </si>
  <si>
    <t>02GNSV024F</t>
  </si>
  <si>
    <t>02LGSV0036</t>
  </si>
  <si>
    <t>02LGSV048T</t>
  </si>
  <si>
    <t>02OALT015N</t>
  </si>
  <si>
    <t>02RCFL0054</t>
  </si>
  <si>
    <t>02GNSV24FP</t>
  </si>
  <si>
    <t>02APSV0040</t>
  </si>
  <si>
    <t>02APSV040X</t>
  </si>
  <si>
    <t>02LGSV048M</t>
  </si>
  <si>
    <t>02COSL0052</t>
  </si>
  <si>
    <t>02CUSL053F</t>
  </si>
  <si>
    <t>02CUSL053M</t>
  </si>
  <si>
    <t>02HPSV0051</t>
  </si>
  <si>
    <t>02MVSL0057</t>
  </si>
  <si>
    <t>$</t>
  </si>
  <si>
    <t>48T</t>
  </si>
  <si>
    <t>Sch. 191</t>
  </si>
  <si>
    <t>02RESD00017</t>
  </si>
  <si>
    <t>Revenue Class Description</t>
  </si>
  <si>
    <t>Rate Description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</si>
  <si>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</si>
  <si>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</si>
  <si>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</si>
  <si>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</si>
  <si>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</si>
  <si>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</si>
  <si>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</si>
  <si>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</si>
  <si>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</si>
  <si>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</si>
  <si>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</si>
  <si>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</si>
  <si>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</si>
  <si>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</si>
  <si>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</si>
  <si>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BPA BALANCING ACCOUNT</t>
  </si>
  <si>
    <t>CUSTOMER COUNT - BPA</t>
  </si>
  <si>
    <t>CUSTOMER COUNT - REGULAR</t>
  </si>
  <si>
    <t>UNBILLED REVENUE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</si>
  <si>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</si>
  <si>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</si>
  <si>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</si>
  <si>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</si>
  <si>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</si>
  <si>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</si>
  <si>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</si>
  <si>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</si>
  <si>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CUSTOMER CNT - IRRIG BPA</t>
  </si>
  <si>
    <t>IRRIGATION BPA BAL ACCT</t>
  </si>
  <si>
    <t>IRRIGATION UNBILLED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</si>
  <si>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</si>
  <si>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</si>
  <si>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</si>
  <si>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</si>
  <si>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</si>
  <si>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</si>
  <si>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</si>
  <si>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</si>
  <si>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</si>
  <si>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</si>
  <si>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02RESD0017-BILL ASSISTANCE</t>
  </si>
  <si>
    <t>02RESD0018-WA 3 PHASE RES</t>
  </si>
  <si>
    <t>02RESD018X-WA 3 PHASE RES</t>
  </si>
  <si>
    <t>24f</t>
  </si>
  <si>
    <t>15n</t>
  </si>
  <si>
    <t>48m</t>
  </si>
  <si>
    <t>48t</t>
  </si>
  <si>
    <t>24fp</t>
  </si>
  <si>
    <t>40x</t>
  </si>
  <si>
    <t>53f</t>
  </si>
  <si>
    <t>53m</t>
  </si>
  <si>
    <t>15r</t>
  </si>
  <si>
    <t>18x</t>
  </si>
  <si>
    <t>02RESD0018X</t>
  </si>
  <si>
    <t>02PRSV47TM</t>
  </si>
  <si>
    <t>MONTHLY KWH</t>
  </si>
  <si>
    <t>02LNX00300-LINE EXT 80% G</t>
  </si>
  <si>
    <t>02NMT24135, Net metering, WA</t>
  </si>
  <si>
    <t>02LGSB048T - WA GEN SRVC, NO BPA</t>
  </si>
  <si>
    <t>301119 - UNBILLED REV - UNCOLLECTIBLE</t>
  </si>
  <si>
    <t>02GNSB024F-GEN SRVC DOM/F W/BPA</t>
  </si>
  <si>
    <t>02GNSB0024-WA GEN SRVC DO</t>
  </si>
  <si>
    <t>02GNSB24FP-WA GEN SVC SEASONAL</t>
  </si>
  <si>
    <t>ACQUISITION COMMITMENT-A and G CREDIT</t>
  </si>
  <si>
    <t>02LGSB0036-LRG GENSVC IRG W/BPA</t>
  </si>
  <si>
    <t>02OALTB15N-WA OUTD AR LGT NR W/BPA</t>
  </si>
  <si>
    <t>ACQUISITION COMMITMENT-WEST VALLEY LEASE</t>
  </si>
  <si>
    <t>02GNSB0024-WA GEN SRVC DO W/BPA</t>
  </si>
  <si>
    <t>02GNSB24FP-WA GEN SVC SEASONAL W/BPA</t>
  </si>
  <si>
    <t>02OALTB15N-WA OUTD AR LGT NR</t>
  </si>
  <si>
    <t>02GNSB024F-GEN SRVC DOM/F</t>
  </si>
  <si>
    <t>02LGSB0036-LRG GEN SVC IRG</t>
  </si>
  <si>
    <t>02OALTB15R-WA OUTD AR LGT RES</t>
  </si>
  <si>
    <t>02OALTB15R-WA OUTD AR LGT RES W/BPA</t>
  </si>
  <si>
    <t>kwh</t>
  </si>
  <si>
    <t>rev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</si>
  <si>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</si>
  <si>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</si>
  <si>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</si>
  <si>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</si>
  <si>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</si>
  <si>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</si>
  <si>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02NETMT135 - WA RES NET METERING</t>
  </si>
  <si>
    <t>02NETMT135</t>
  </si>
  <si>
    <t>Error Check</t>
  </si>
  <si>
    <t>SMUD REVENUE IMPUTATIONS</t>
  </si>
  <si>
    <t>02NETMT135 - WA RES NET METERING-BPA</t>
  </si>
  <si>
    <t>305 from Cognos (305 Reports)</t>
  </si>
  <si>
    <t>WASHINGTON - CHEHALIS DEFERRAL</t>
  </si>
  <si>
    <t>REVENUE_ACCOUNTING ADJUSTMENTS</t>
  </si>
  <si>
    <t>02NMT36135-WA NET METER LRG SVC &lt; 1000KW</t>
  </si>
  <si>
    <t>301461-IRRIGATION DEMAND CHARGE ACCRUAL</t>
  </si>
  <si>
    <t>52f</t>
  </si>
  <si>
    <t>02CFR0012</t>
  </si>
  <si>
    <t>02BLSKY01N-BLUESKY ENERGY</t>
  </si>
  <si>
    <t>02UPPL000R-BASE SCH FALL</t>
  </si>
  <si>
    <t>REVENUE ADJUSTMENT - DEFERRED NPC</t>
  </si>
  <si>
    <t>Washington- December 2011</t>
  </si>
  <si>
    <t>12 Months Ended December 2011</t>
  </si>
  <si>
    <t>Washington- 12 Months Ended December 2011</t>
  </si>
  <si>
    <t>Sch. 96</t>
  </si>
  <si>
    <t>24F</t>
  </si>
  <si>
    <t>24FP</t>
  </si>
  <si>
    <t>40X</t>
  </si>
  <si>
    <t>53F</t>
  </si>
  <si>
    <t>18X</t>
  </si>
  <si>
    <t>Jan 2011 - Mar 2011</t>
  </si>
  <si>
    <t>301280-BLUE SKY REVENUE-COMMERCIAL</t>
  </si>
  <si>
    <t>301470-DSM REVENUE-IRRIGATION</t>
  </si>
  <si>
    <t>301480-BLUE SKY REVENUE-IRRIGATION</t>
  </si>
  <si>
    <t>Blue Sky</t>
  </si>
  <si>
    <t>301670-DSM REVENUE-PSHL</t>
  </si>
  <si>
    <t>301170-DSM REVENUE-RESIDENTIAL</t>
  </si>
  <si>
    <t>301180-BLUE SKY REVENUE-RESIDENTIAL</t>
  </si>
  <si>
    <t>DSM</t>
  </si>
  <si>
    <t>02RGNSB024</t>
  </si>
  <si>
    <t>Days</t>
  </si>
  <si>
    <t>Schedule 40</t>
  </si>
  <si>
    <t>Class</t>
  </si>
  <si>
    <t>R</t>
  </si>
  <si>
    <t>U</t>
  </si>
  <si>
    <t>Code</t>
  </si>
  <si>
    <t>301380-BLUE SKY REVENUE-INDUSTRIAL</t>
  </si>
  <si>
    <t>301170-DSM</t>
  </si>
  <si>
    <t>301180-BLU</t>
  </si>
  <si>
    <t>301280-BLU</t>
  </si>
  <si>
    <t>301380-BLU</t>
  </si>
  <si>
    <t>301470-DSM</t>
  </si>
  <si>
    <t>301480-BLU</t>
  </si>
  <si>
    <t>301670-DSM</t>
  </si>
  <si>
    <t>REVENUE AD</t>
  </si>
  <si>
    <t>REVENUE_AC</t>
  </si>
  <si>
    <t>Lighting</t>
  </si>
  <si>
    <t>Unbilled</t>
  </si>
  <si>
    <t>Schedule 15</t>
  </si>
  <si>
    <t>Schedule 51</t>
  </si>
  <si>
    <t>Schedule 54</t>
  </si>
  <si>
    <t>Schedule 48T</t>
  </si>
  <si>
    <t>Rev Adj</t>
  </si>
  <si>
    <t xml:space="preserve">    DSM</t>
  </si>
  <si>
    <t xml:space="preserve">    Blue Sky</t>
  </si>
  <si>
    <t>Secondary</t>
  </si>
  <si>
    <t>Primary</t>
  </si>
  <si>
    <t>Voltage</t>
  </si>
  <si>
    <t>Irrigation</t>
  </si>
  <si>
    <t>367580-REVENUE ADJ PROPERTY INSUR-RES</t>
  </si>
  <si>
    <t>367680-REVENUE ADJ PROPERTY INSUR-COM</t>
  </si>
  <si>
    <t>367780-REVENUE ADJ PROPERTY INSUR-IND</t>
  </si>
  <si>
    <t>367880-REVENUE ADJ PROPERTY INSUR-IRG</t>
  </si>
  <si>
    <t>INCOME TAX DEFERRAL ADJUSTMENTS</t>
  </si>
  <si>
    <t>367580-REV</t>
  </si>
  <si>
    <t>367680-REV</t>
  </si>
  <si>
    <t>367780-REV</t>
  </si>
  <si>
    <t>367880-REV</t>
  </si>
  <si>
    <t>INCOME TAX</t>
  </si>
  <si>
    <t>Rev Adj Property Insur</t>
  </si>
  <si>
    <t xml:space="preserve">    Rev Adj (Revenue Accounting Adjustments and Revenue Adjustment - Deferred NPC)</t>
  </si>
  <si>
    <t xml:space="preserve">    Rev Adj Property Insur</t>
  </si>
  <si>
    <t>Phase</t>
  </si>
  <si>
    <t>Load Size</t>
  </si>
  <si>
    <t>All</t>
  </si>
  <si>
    <t>Sch.18 kW</t>
  </si>
  <si>
    <t>kWh First Block</t>
  </si>
  <si>
    <t>kWh Second Block</t>
  </si>
  <si>
    <t>Single</t>
  </si>
  <si>
    <t>Three</t>
  </si>
  <si>
    <t>kVar (Excess)</t>
  </si>
  <si>
    <t>kW</t>
  </si>
  <si>
    <t>Small</t>
  </si>
  <si>
    <t>Large</t>
  </si>
  <si>
    <t>Billing Unit</t>
  </si>
  <si>
    <t>Quantity</t>
  </si>
  <si>
    <t>kWh On-Peak</t>
  </si>
  <si>
    <t>kWh Off-Peak</t>
  </si>
  <si>
    <t xml:space="preserve">Schedule </t>
  </si>
  <si>
    <t>Line</t>
  </si>
  <si>
    <t>Description Detail</t>
  </si>
  <si>
    <t>Group Code</t>
  </si>
  <si>
    <t>CUSTOMER C</t>
  </si>
  <si>
    <t>Customers</t>
  </si>
  <si>
    <t>Check</t>
  </si>
  <si>
    <t>kW Category</t>
  </si>
  <si>
    <t>Jul-21 - Jun-22</t>
  </si>
  <si>
    <t>101-300</t>
  </si>
  <si>
    <t>301-1000</t>
  </si>
  <si>
    <t>1000+</t>
  </si>
  <si>
    <t>Average Monthly Customers</t>
  </si>
  <si>
    <t>CustIDs</t>
  </si>
  <si>
    <t>02BLSKY01R</t>
  </si>
  <si>
    <t>02BPADEBIT</t>
  </si>
  <si>
    <t>BPA Adj Fee</t>
  </si>
  <si>
    <t>02CFR00012</t>
  </si>
  <si>
    <t>Schedule 53</t>
  </si>
  <si>
    <t>02GN24EV45</t>
  </si>
  <si>
    <t>Schedule 24</t>
  </si>
  <si>
    <t>02GNSB0024</t>
  </si>
  <si>
    <t>02GNSB024F</t>
  </si>
  <si>
    <t>02GNSB24FP</t>
  </si>
  <si>
    <t>02LGSB0036</t>
  </si>
  <si>
    <t>02LNX00102</t>
  </si>
  <si>
    <t>02LNX00103</t>
  </si>
  <si>
    <t>02LNX00105</t>
  </si>
  <si>
    <t>02LNX00109</t>
  </si>
  <si>
    <t>02LNX00110</t>
  </si>
  <si>
    <t>02LNX00112</t>
  </si>
  <si>
    <t>02LNX00300</t>
  </si>
  <si>
    <t>02LNX00310</t>
  </si>
  <si>
    <t>02LNX00311</t>
  </si>
  <si>
    <t>02LNX00312</t>
  </si>
  <si>
    <t>02NMB24135</t>
  </si>
  <si>
    <t>02NMT24135</t>
  </si>
  <si>
    <t>02NMT36135</t>
  </si>
  <si>
    <t>02NMT40135</t>
  </si>
  <si>
    <t>02NMT48135</t>
  </si>
  <si>
    <t>02NMX40135</t>
  </si>
  <si>
    <t>02OALTB15N</t>
  </si>
  <si>
    <t>02OALTB15R</t>
  </si>
  <si>
    <t>Schedule 47T</t>
  </si>
  <si>
    <t>02RESD0016</t>
  </si>
  <si>
    <t>02RESD0017</t>
  </si>
  <si>
    <t>02RESD0018</t>
  </si>
  <si>
    <t>02RESD018X</t>
  </si>
  <si>
    <t>02RGNSB036</t>
  </si>
  <si>
    <t>02RNM24135</t>
  </si>
  <si>
    <t>02SLCO0051</t>
  </si>
  <si>
    <t>301112-RES</t>
  </si>
  <si>
    <t>Customer Bill Credits</t>
  </si>
  <si>
    <t>301212-COM</t>
  </si>
  <si>
    <t>301270-DSM</t>
  </si>
  <si>
    <t>301312-IND</t>
  </si>
  <si>
    <t>301370-DSM</t>
  </si>
  <si>
    <t>301453-IRR</t>
  </si>
  <si>
    <t>301461-IRR</t>
  </si>
  <si>
    <t>301612-PSH</t>
  </si>
  <si>
    <t>ALT REVENU</t>
  </si>
  <si>
    <t>Alt Rev Program</t>
  </si>
  <si>
    <t>BPA BALANC</t>
  </si>
  <si>
    <t>BPA Bal Acct</t>
  </si>
  <si>
    <t>Income Tax Defer Adj</t>
  </si>
  <si>
    <t>IRRIGATION</t>
  </si>
  <si>
    <t>02RESD019T</t>
  </si>
  <si>
    <t>0</t>
  </si>
  <si>
    <t>1-10</t>
  </si>
  <si>
    <t>11-100</t>
  </si>
  <si>
    <t>Schedule 29,36</t>
  </si>
  <si>
    <t>Sch.18 kW Minimum</t>
  </si>
  <si>
    <t>Load Size kW</t>
  </si>
  <si>
    <t>kWh Third Block</t>
  </si>
  <si>
    <t>Annual Load Size kW</t>
  </si>
  <si>
    <t>Medium</t>
  </si>
  <si>
    <t>Load Size Minimum</t>
  </si>
  <si>
    <t>kW Standby</t>
  </si>
  <si>
    <t>Schedule 48T-DF</t>
  </si>
  <si>
    <t>B</t>
  </si>
  <si>
    <t>02NMB24135, Net metering, WA-BPA</t>
  </si>
  <si>
    <t>02NMT36135-WA NET METER LRG SVC - BPA</t>
  </si>
  <si>
    <t>02GN24EV45-WA ELECTRIC VEHICLE FAST CHG</t>
  </si>
  <si>
    <t>02GNSV0029-WA NON RES TOU PILOT</t>
  </si>
  <si>
    <t>02NMB24135-WA NET METERING</t>
  </si>
  <si>
    <t>02NMT48135-WA LG SVC NET METER=&gt;1000 KW</t>
  </si>
  <si>
    <t>301212-COMMERCIAL CUSTOMER BILL CREDITS</t>
  </si>
  <si>
    <t>301270-DSM REVENUE-COMMERCIAL</t>
  </si>
  <si>
    <t>ALT REVENUE PROGRAM ADJUSTMENTS</t>
  </si>
  <si>
    <t>301370-DSM REVENUE-INDUSTRIAL</t>
  </si>
  <si>
    <t>02BPADEBIT-BPA ADJUST FEE</t>
  </si>
  <si>
    <t>02NMT40135-WA NET METERING BPA-IRG</t>
  </si>
  <si>
    <t>02NMT40135-WA NET METERING-IRG</t>
  </si>
  <si>
    <t>02NMX40135-WA NET METERING-IRG</t>
  </si>
  <si>
    <t>301453-IRRIGATION CUSTOMER BILL CREDITS</t>
  </si>
  <si>
    <t>02SLCO0051-WA COMPANY STREET LIGHTING</t>
  </si>
  <si>
    <t>02RESD0016-WA RES SRVC-BPA</t>
  </si>
  <si>
    <t>02RESD0018-WA 3 PHASE RES-BPA</t>
  </si>
  <si>
    <t>02RESD018X-WA 3 PHASE RES-BPA</t>
  </si>
  <si>
    <t>02RESD019T-WA RESIDENTIAL TOU PILOT BPA</t>
  </si>
  <si>
    <t>02RGNSB024-WA SMALL GENERAL SVC-RES-BPA</t>
  </si>
  <si>
    <t>02RGNSB036-RES LRG GEN SVC &lt; 1000 KW BPA</t>
  </si>
  <si>
    <t>02RNM24135-RES NET MTR SMALL GEN SVC-BPA</t>
  </si>
  <si>
    <t>02CHCK000R-WA RES CHECK M</t>
  </si>
  <si>
    <t>02RESD019T-WA RESIDENTIAL TOU PILOT</t>
  </si>
  <si>
    <t>02RGNSB024-WA SMALL GENERAL SVC-RES</t>
  </si>
  <si>
    <t>02RGNSB036-RES LRG GEN SVC &lt; 1000 KW</t>
  </si>
  <si>
    <t>02RNM24135-RES NET METER SMALL GEN SVC</t>
  </si>
  <si>
    <t>301112-RESIDENTIAL CUSTOMER BILL CREDITS</t>
  </si>
  <si>
    <t>02GNSV0029</t>
  </si>
  <si>
    <t>02CHCK000R</t>
  </si>
  <si>
    <t>Ignore</t>
  </si>
  <si>
    <t>All Classes</t>
  </si>
  <si>
    <t>Irr Demand Charge Accrual</t>
  </si>
  <si>
    <t xml:space="preserve">    Alt Rev Program</t>
  </si>
  <si>
    <t xml:space="preserve">    Customer Bill Credits</t>
  </si>
  <si>
    <t xml:space="preserve">    Income Tax Defer Adj</t>
  </si>
  <si>
    <t xml:space="preserve">    Irr Demand Charge Accrual</t>
  </si>
  <si>
    <t>Schedule 98</t>
  </si>
  <si>
    <t>Other</t>
  </si>
  <si>
    <t>Normalized</t>
  </si>
  <si>
    <t>Load Research kWh</t>
  </si>
  <si>
    <t>Schedule 15,51,53,54</t>
  </si>
  <si>
    <t>kWh Unbilled</t>
  </si>
  <si>
    <t>Normalized Billing Units</t>
  </si>
  <si>
    <t>Schedule 16</t>
  </si>
  <si>
    <t>Bill</t>
  </si>
  <si>
    <t>Annual Bill</t>
  </si>
  <si>
    <t>Level 1 Lamp</t>
  </si>
  <si>
    <t>Level 2 Lamp</t>
  </si>
  <si>
    <t>Level 3 Lamp</t>
  </si>
  <si>
    <t>Level 4 Lamp</t>
  </si>
  <si>
    <t>Level 5 Lamp</t>
  </si>
  <si>
    <t>Level 6 Lamp</t>
  </si>
  <si>
    <t>Level 1 Lamp (Customer Funded Conversion)</t>
  </si>
  <si>
    <t>Level 2 Lamp (Customer Funded Conversion)</t>
  </si>
  <si>
    <t>Level 3 Lamp (Customer Funded Conversion)</t>
  </si>
  <si>
    <t>Level 4 Lamp (Customer Funded Conversion)</t>
  </si>
  <si>
    <t>Level 5 Lamp (Customer Funded Conversion)</t>
  </si>
  <si>
    <t>Level 6 Lamp (Customer Funded Conversion)</t>
  </si>
  <si>
    <t>AutoPay Bill</t>
  </si>
  <si>
    <t>Paperless Bill</t>
  </si>
  <si>
    <t>Schedule 36</t>
  </si>
  <si>
    <t>Annual Guarantee Adjustments</t>
  </si>
  <si>
    <t>Normalizing Adjustments</t>
  </si>
  <si>
    <t>Temperature kWh Normalization</t>
  </si>
  <si>
    <t>Temperature $ Normalization</t>
  </si>
  <si>
    <t>Out-of-Period Normalized Billing Units</t>
  </si>
  <si>
    <t>R,U</t>
  </si>
  <si>
    <t>Primary Delivery Load Size kW</t>
  </si>
  <si>
    <t>Kilowatt Hours</t>
  </si>
  <si>
    <t>Revenue ($)</t>
  </si>
  <si>
    <t xml:space="preserve">    Schedule 93</t>
  </si>
  <si>
    <t xml:space="preserve">    Schedule 94</t>
  </si>
  <si>
    <t xml:space="preserve">    Schedule 98</t>
  </si>
  <si>
    <t xml:space="preserve">    Schedule 191</t>
  </si>
  <si>
    <t xml:space="preserve">    Schedule 197</t>
  </si>
  <si>
    <t>Employee Discount $</t>
  </si>
  <si>
    <t>Primary Metering $</t>
  </si>
  <si>
    <t>Primary Metering and Delivery High Voltage</t>
  </si>
  <si>
    <t>AutoPay Bill Credits</t>
  </si>
  <si>
    <t>Paperless Bill Credits</t>
  </si>
  <si>
    <t xml:space="preserve">    Adjustments to move AutoPay and Paperless Bill Credits from Schedule Lines to AutoPay and Paperless Bill Credit Lines</t>
  </si>
  <si>
    <t xml:space="preserve">    Adjustments for billings that occurred outside the Booked Period (Out-of-Period Normalizations)</t>
  </si>
  <si>
    <t>Percentage Effect on Annual $ of</t>
  </si>
  <si>
    <t xml:space="preserve">    Adjustments to allocate $ from Unbilled Lines to Schedule Lines</t>
  </si>
  <si>
    <t>LIRF</t>
  </si>
  <si>
    <t>PCORC</t>
  </si>
  <si>
    <t>Price Changes effective</t>
  </si>
  <si>
    <t>Annualization of</t>
  </si>
  <si>
    <t>Schedule 40 Average Monthly Bills</t>
  </si>
  <si>
    <r>
      <t>Other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</si>
  <si>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AutoPay and Paperless Bill Credits booked with Schedule $</t>
    </r>
  </si>
  <si>
    <r>
      <t>Booked</t>
    </r>
    <r>
      <rPr>
        <vertAlign val="superscript"/>
        <sz val="12"/>
        <color rgb="FF000000"/>
        <rFont val="Times New Roman"/>
        <family val="1"/>
      </rPr>
      <t>2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</si>
  <si>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 xml:space="preserve">Accounting Adjustments: </t>
    </r>
  </si>
  <si>
    <r>
      <t>Accounting</t>
    </r>
    <r>
      <rPr>
        <vertAlign val="superscript"/>
        <sz val="12"/>
        <rFont val="Times New Roman"/>
        <family val="1"/>
      </rPr>
      <t>3</t>
    </r>
  </si>
  <si>
    <r>
      <t>Riders</t>
    </r>
    <r>
      <rPr>
        <vertAlign val="superscript"/>
        <sz val="12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</si>
  <si>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 xml:space="preserve">4 </t>
    </r>
    <r>
      <rPr>
        <sz val="12"/>
        <rFont val="Times New Roman"/>
        <family val="1"/>
      </rPr>
      <t>Riders: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</si>
  <si>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>See Docket UE-210532</t>
    </r>
  </si>
  <si>
    <r>
      <rPr>
        <vertAlign val="superscript"/>
        <sz val="12"/>
        <rFont val="Times New Roman"/>
        <family val="1"/>
      </rPr>
      <t xml:space="preserve">6 </t>
    </r>
    <r>
      <rPr>
        <sz val="12"/>
        <rFont val="Times New Roman"/>
        <family val="1"/>
      </rPr>
      <t>See Docket UE-210402</t>
    </r>
  </si>
  <si>
    <r>
      <t xml:space="preserve">7 </t>
    </r>
    <r>
      <rPr>
        <sz val="12"/>
        <rFont val="Times New Roman"/>
        <family val="1"/>
      </rPr>
      <t>Other Normalizing Adjustments:</t>
    </r>
  </si>
  <si>
    <r>
      <t>Other</t>
    </r>
    <r>
      <rPr>
        <vertAlign val="superscript"/>
        <sz val="12"/>
        <rFont val="Times New Roman"/>
        <family val="1"/>
      </rPr>
      <t>7</t>
    </r>
  </si>
  <si>
    <r>
      <t>5/1/2022</t>
    </r>
    <r>
      <rPr>
        <vertAlign val="superscript"/>
        <sz val="12"/>
        <rFont val="Times New Roman"/>
        <family val="1"/>
      </rPr>
      <t>6</t>
    </r>
  </si>
  <si>
    <r>
      <t>2/1/2022</t>
    </r>
    <r>
      <rPr>
        <vertAlign val="superscript"/>
        <sz val="12"/>
        <rFont val="Times New Roman"/>
        <family val="1"/>
      </rPr>
      <t>5</t>
    </r>
  </si>
  <si>
    <r>
      <t xml:space="preserve">1 </t>
    </r>
    <r>
      <rPr>
        <sz val="12"/>
        <rFont val="Times New Roman"/>
        <family val="1"/>
      </rPr>
      <t>Adjustments for billings that occurred outside the Booked Period (Out-of-Period Normalizations)</t>
    </r>
  </si>
  <si>
    <t>kWh First Block (October - May)</t>
  </si>
  <si>
    <t>kWh Second Block (October - May)</t>
  </si>
  <si>
    <t>kWh First Block (June - September)</t>
  </si>
  <si>
    <t>kWh Second Block (June - September)</t>
  </si>
  <si>
    <t>kWh Third Block (June - September)</t>
  </si>
  <si>
    <t>kWh Third Block (October - May)</t>
  </si>
  <si>
    <t>Load Research kWh and Temperature $ Normalization</t>
  </si>
  <si>
    <t>Component</t>
  </si>
  <si>
    <t>Units</t>
  </si>
  <si>
    <t>$ Per</t>
  </si>
  <si>
    <r>
      <t>Billed</t>
    </r>
    <r>
      <rPr>
        <vertAlign val="superscript"/>
        <sz val="12"/>
        <rFont val="Times New Roman"/>
        <family val="1"/>
      </rPr>
      <t>1</t>
    </r>
  </si>
  <si>
    <t>Jul-21 - Jun-22 $</t>
  </si>
  <si>
    <t>Present</t>
  </si>
  <si>
    <t>Units, Prices ($ Per), and Revenue ($)</t>
  </si>
  <si>
    <t>AutoPay and Paperless Bill Credits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</si>
  <si>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Excludes AutoPay and Paperless Bill Credits</t>
    </r>
  </si>
  <si>
    <t>Average Monthly Customers, Kilowatt Hours, and Revenue for the Twelve Months Ended June 2022</t>
  </si>
  <si>
    <t>Small General Service</t>
  </si>
  <si>
    <t>Proposed</t>
  </si>
  <si>
    <t>Single-Phase</t>
  </si>
  <si>
    <t>Change</t>
  </si>
  <si>
    <t>Three-Phase</t>
  </si>
  <si>
    <t>Schedule 15 - Outdoor Area Lighting Service</t>
  </si>
  <si>
    <t>Schedule 51 - Company-Owned Street Lighting Service</t>
  </si>
  <si>
    <t>Schedule</t>
  </si>
  <si>
    <t>Single-Family Bill</t>
  </si>
  <si>
    <t>Multi-Family Bill</t>
  </si>
  <si>
    <t>Schedules 16, 17, and 19</t>
  </si>
  <si>
    <t>Schedule 16,17,19</t>
  </si>
  <si>
    <t>Residential Service</t>
  </si>
  <si>
    <t>Schedule 16,19</t>
  </si>
  <si>
    <t>Schedule 19</t>
  </si>
  <si>
    <t>Function</t>
  </si>
  <si>
    <t>Sch.48T</t>
  </si>
  <si>
    <t>Sch.40</t>
  </si>
  <si>
    <t>Production Total</t>
  </si>
  <si>
    <t>Transmission Total</t>
  </si>
  <si>
    <t>Distribution Total</t>
  </si>
  <si>
    <t>Customer</t>
  </si>
  <si>
    <t>Common</t>
  </si>
  <si>
    <t>Distribution Substations</t>
  </si>
  <si>
    <t>Distribution Poles and Conductor</t>
  </si>
  <si>
    <t>Distribution Transformers</t>
  </si>
  <si>
    <t>Distribution Meters</t>
  </si>
  <si>
    <t>Distribution Services</t>
  </si>
  <si>
    <t>Production Demand</t>
  </si>
  <si>
    <t>Production Energy</t>
  </si>
  <si>
    <t>Transmission Demand</t>
  </si>
  <si>
    <t>Transmission Energy</t>
  </si>
  <si>
    <t>Sch.16,17,19</t>
  </si>
  <si>
    <t>Sch.24</t>
  </si>
  <si>
    <t>Sch.48T-DF</t>
  </si>
  <si>
    <t>Sch.47T</t>
  </si>
  <si>
    <t xml:space="preserve">Operations and </t>
  </si>
  <si>
    <t>Maintenance</t>
  </si>
  <si>
    <t>Percent of</t>
  </si>
  <si>
    <t>Installation $</t>
  </si>
  <si>
    <t>Polemount Transformer</t>
  </si>
  <si>
    <t>(Per Company</t>
  </si>
  <si>
    <t xml:space="preserve"> Installation $</t>
  </si>
  <si>
    <t>Monthly</t>
  </si>
  <si>
    <t>2022 Use of</t>
  </si>
  <si>
    <t>30 kVA</t>
  </si>
  <si>
    <t>25 kVA</t>
  </si>
  <si>
    <t>Three-Phase $</t>
  </si>
  <si>
    <t>Facilities Report)</t>
  </si>
  <si>
    <t>Seasonal</t>
  </si>
  <si>
    <t>Month</t>
  </si>
  <si>
    <t>Annual</t>
  </si>
  <si>
    <t>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</si>
  <si>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</si>
  <si>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</si>
  <si>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</si>
  <si>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</si>
  <si>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</si>
  <si>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</si>
  <si>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</si>
  <si>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</si>
  <si>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</si>
  <si>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</si>
  <si>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</si>
  <si>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</si>
  <si>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</si>
  <si>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kWh On-Peak (June - September)</t>
  </si>
  <si>
    <t>kWh On-Peak (October - May)</t>
  </si>
  <si>
    <t>kWh Off-Peak (June - September)</t>
  </si>
  <si>
    <t>kWh Off-Peak (October - May)</t>
  </si>
  <si>
    <t>Demand</t>
  </si>
  <si>
    <t>Energy</t>
  </si>
  <si>
    <t>Component Class</t>
  </si>
  <si>
    <t>Large General Service</t>
  </si>
  <si>
    <t>Large Partial Requirements Service</t>
  </si>
  <si>
    <t>Agricultural Pumping Service</t>
  </si>
  <si>
    <t>Large General Service - Dedicated Facilities</t>
  </si>
  <si>
    <t>General Service</t>
  </si>
  <si>
    <t>Schedule 29</t>
  </si>
  <si>
    <t>Load</t>
  </si>
  <si>
    <t>First Block</t>
  </si>
  <si>
    <t>On-Peak</t>
  </si>
  <si>
    <t>IRP Planning</t>
  </si>
  <si>
    <t>Percent</t>
  </si>
  <si>
    <t>Reserve</t>
  </si>
  <si>
    <t>Margin</t>
  </si>
  <si>
    <t>Earned</t>
  </si>
  <si>
    <t>Less</t>
  </si>
  <si>
    <t>Target</t>
  </si>
  <si>
    <t>First Year Target</t>
  </si>
  <si>
    <t>First Year</t>
  </si>
  <si>
    <t>Second Year Target</t>
  </si>
  <si>
    <t>Second Year</t>
  </si>
  <si>
    <t>Sch.15,51-54</t>
  </si>
  <si>
    <t>First Year Proposed</t>
  </si>
  <si>
    <t>Second Year Proposed</t>
  </si>
  <si>
    <t>Changes</t>
  </si>
  <si>
    <t>Bill Comparisons</t>
  </si>
  <si>
    <t>Transmission</t>
  </si>
  <si>
    <t>Note: Excludes Rider Schedules 91, 92, 93, 97, 98, 99, 191, 197</t>
  </si>
  <si>
    <t>Percent Toward</t>
  </si>
  <si>
    <t>Block Elimination</t>
  </si>
  <si>
    <t>Season</t>
  </si>
  <si>
    <t>Household</t>
  </si>
  <si>
    <t>Single-Family</t>
  </si>
  <si>
    <t>Multi-Family</t>
  </si>
  <si>
    <t>Notes:</t>
  </si>
  <si>
    <t>Excludes Rider Schedules 91, 92, 93, 97, 98, 99, 191, 197</t>
  </si>
  <si>
    <t>Type</t>
  </si>
  <si>
    <t>Year</t>
  </si>
  <si>
    <t>June -</t>
  </si>
  <si>
    <t>October -</t>
  </si>
  <si>
    <t>Summer is June-September; Winter is May-October</t>
  </si>
  <si>
    <t>Summer</t>
  </si>
  <si>
    <t>Winter</t>
  </si>
  <si>
    <t>Annualized</t>
  </si>
  <si>
    <t>Size</t>
  </si>
  <si>
    <t>MWh</t>
  </si>
  <si>
    <t>MW</t>
  </si>
  <si>
    <t>Per</t>
  </si>
  <si>
    <t>Revenue Requirements ($) at Cost of Service (COS)</t>
  </si>
  <si>
    <t>First Year COS</t>
  </si>
  <si>
    <t>Second Year COS</t>
  </si>
  <si>
    <t>First Year COS per Component</t>
  </si>
  <si>
    <t>Second Year COS per Component</t>
  </si>
  <si>
    <t>First Year COS per Component Class - Customer</t>
  </si>
  <si>
    <t>First Year COS per Component Class - Load Size</t>
  </si>
  <si>
    <t>First Year COS per Component Class - Demand</t>
  </si>
  <si>
    <t>First Year COS per Component Class - Energy</t>
  </si>
  <si>
    <t>Second Year COS per Component Class - Customer</t>
  </si>
  <si>
    <t>Second Year COS per Component Class - Load Size</t>
  </si>
  <si>
    <t>Second Year COS per Component Class - Demand</t>
  </si>
  <si>
    <t>Second Year COS per Component Class - Energy</t>
  </si>
  <si>
    <t>Schedule 29 Percent kWh</t>
  </si>
  <si>
    <t>Billing Units</t>
  </si>
  <si>
    <t>Megawatt</t>
  </si>
  <si>
    <t>Service Schedule</t>
  </si>
  <si>
    <t>Service Description</t>
  </si>
  <si>
    <t>Hours</t>
  </si>
  <si>
    <t>General</t>
  </si>
  <si>
    <t>Outdoor Area Lighting</t>
  </si>
  <si>
    <t>Company-Owned Street Lighting</t>
  </si>
  <si>
    <t>Metered Outdoor Lighting</t>
  </si>
  <si>
    <t>Customer-Owned Street Lighting</t>
  </si>
  <si>
    <t>All Lighting</t>
  </si>
  <si>
    <t>Agricultural Pumping</t>
  </si>
  <si>
    <t>Schedule 53 - Customer-Owned Street Lighting Service</t>
  </si>
  <si>
    <t>Various</t>
  </si>
  <si>
    <t>General - Small</t>
  </si>
  <si>
    <t>General - Large</t>
  </si>
  <si>
    <t>Recreational Field Lighting</t>
  </si>
  <si>
    <t>Schedule 54 - Recreational Field Lighting Service</t>
  </si>
  <si>
    <t>General - Large (Dedicated Facilities)</t>
  </si>
  <si>
    <t>Proposed Revenue Changes</t>
  </si>
  <si>
    <t>Per Proposed Prices and Billing Units for the Twelve Months Ending June 2022</t>
  </si>
  <si>
    <t>Sch.29,36</t>
  </si>
  <si>
    <t>Schedules 29 and 36</t>
  </si>
  <si>
    <t xml:space="preserve">First Year </t>
  </si>
  <si>
    <t xml:space="preserve">Second Year </t>
  </si>
  <si>
    <t>Energy Loss Factors</t>
  </si>
  <si>
    <t>Substations</t>
  </si>
  <si>
    <t>Distribution $</t>
  </si>
  <si>
    <t>Transformers</t>
  </si>
  <si>
    <t>P &amp; C</t>
  </si>
  <si>
    <t>Sales</t>
  </si>
  <si>
    <t>Input</t>
  </si>
  <si>
    <t>Incremental Distribution</t>
  </si>
  <si>
    <t>Adjusted</t>
  </si>
  <si>
    <t>kWh On-Peak Adder</t>
  </si>
  <si>
    <t>kWh Off-Peak Adder</t>
  </si>
  <si>
    <t>Time-of-Use Metering Fee</t>
  </si>
  <si>
    <t>Differential</t>
  </si>
  <si>
    <t>Price</t>
  </si>
  <si>
    <t>Time-of-Use kWh</t>
  </si>
  <si>
    <t>and Primary</t>
  </si>
  <si>
    <t>Check Present $</t>
  </si>
  <si>
    <t>Schedule 47,48T</t>
  </si>
  <si>
    <t>Description</t>
  </si>
  <si>
    <t>Cost of Service</t>
  </si>
  <si>
    <t>16,17,19</t>
  </si>
  <si>
    <t>15,51,53,54</t>
  </si>
  <si>
    <t>24</t>
  </si>
  <si>
    <t>29,36</t>
  </si>
  <si>
    <t>47,48T</t>
  </si>
  <si>
    <t>40</t>
  </si>
  <si>
    <t>*Dedicated Facilities (DF)</t>
  </si>
  <si>
    <t>48T-DF*</t>
  </si>
  <si>
    <t>Required per</t>
  </si>
  <si>
    <t>as a Percent of</t>
  </si>
  <si>
    <t>A</t>
  </si>
  <si>
    <t>C</t>
  </si>
  <si>
    <t>Adjusted Target</t>
  </si>
  <si>
    <t>Present Revenue</t>
  </si>
  <si>
    <t>Proposed Revenue</t>
  </si>
  <si>
    <t>D</t>
  </si>
  <si>
    <t>E</t>
  </si>
  <si>
    <t>F</t>
  </si>
  <si>
    <t>of Earned</t>
  </si>
  <si>
    <t>$ Per kWh</t>
  </si>
  <si>
    <t>Price Adjustment</t>
  </si>
  <si>
    <t>(50%*</t>
  </si>
  <si>
    <t>Difference)</t>
  </si>
  <si>
    <t>First</t>
  </si>
  <si>
    <t>Second</t>
  </si>
  <si>
    <t>Forecast Wholesale $ Per kWh at Mid-C Trading Hub</t>
  </si>
  <si>
    <t>Proposed Sch. 16 and 24</t>
  </si>
  <si>
    <t>Seasonal Differential</t>
  </si>
  <si>
    <t>Proposed Sch.24</t>
  </si>
  <si>
    <t>&lt; JAM</t>
  </si>
  <si>
    <t>&lt; Proposed</t>
  </si>
  <si>
    <t>&lt; JAM Less Proposed</t>
  </si>
  <si>
    <t>$ Per Month</t>
  </si>
  <si>
    <t>$000 Per Month</t>
  </si>
  <si>
    <t>$ Per Year</t>
  </si>
  <si>
    <t>First Year COS per Component Class - Other</t>
  </si>
  <si>
    <t>Second Year COS per Component Class - Other</t>
  </si>
  <si>
    <t>Bill (Basic Charge)</t>
  </si>
  <si>
    <t>Prices ($ Per)</t>
  </si>
  <si>
    <t>Assumptions:</t>
  </si>
  <si>
    <t>Residential Service Monthly Bill Comparisons</t>
  </si>
  <si>
    <t>Rider Schedule 91, Per Bill</t>
  </si>
  <si>
    <t>Rider Schedule 92, Per kWh</t>
  </si>
  <si>
    <t>Rider Schedule 197, Per kWh</t>
  </si>
  <si>
    <t>Rider Schedule 191, Per kWh</t>
  </si>
  <si>
    <t>Rider Schedule 99, Per kWh</t>
  </si>
  <si>
    <t>Rider Schedule 98, Per kWh</t>
  </si>
  <si>
    <t>Rider Schedule 97, Per kWh</t>
  </si>
  <si>
    <t>Rider Schedule 93, Per kWh</t>
  </si>
  <si>
    <t>Total Revenue ($)</t>
  </si>
  <si>
    <t>Note: First Block is all kWh less than or equal to 600 kWh; Second Block is all additional kWh</t>
  </si>
  <si>
    <t>Summer:</t>
  </si>
  <si>
    <t>Winter:</t>
  </si>
  <si>
    <t>1. Schedule 16 Pricing</t>
  </si>
  <si>
    <t>2. Average Usage (1,200 kWh per month), with approximately 29 percent in June - September and 71 percent in October - May (percents per customer usage data for the 12 months ending June 2022)</t>
  </si>
  <si>
    <t>3. Single-Family Household</t>
  </si>
  <si>
    <t>4. Single-Phase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</si>
</sst>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_(&quot;$&quot;* #,##0.00000_);_(&quot;$&quot;* \(#,##0.00000\);_(&quot;$&quot;* &quot;-&quot;?????_);_(@_)"/>
    <numFmt numFmtId="167" formatCode="#,##0.00;\-#,##0.00"/>
    <numFmt numFmtId="168" formatCode="&quot;$&quot;#,##0.00"/>
    <numFmt numFmtId="169" formatCode="########\-###\-###"/>
    <numFmt numFmtId="170" formatCode="_(* #,##0.00000_);_(* \(#,##0.00000\);_(* &quot;-&quot;??_);_(@_)"/>
    <numFmt numFmtId="171" formatCode="[$-409]mmm\-yy;@"/>
    <numFmt numFmtId="172" formatCode="_(* #,##0.000_);_(* \(#,##0.000\);_(* &quot;-&quot;??_);_(@_)"/>
    <numFmt numFmtId="173" formatCode="_(* #,##0.0_);_(* \(#,##0.0\);_(* &quot;-&quot;??_);_(@_)"/>
    <numFmt numFmtId="174" formatCode="[$-409]mmmm\ d\,\ yyyy;@"/>
    <numFmt numFmtId="175" formatCode="0.0%"/>
    <numFmt numFmtId="176" formatCode="_(* #,##0.00000_);_(* \(#,##0.00000\);_(* &quot;-&quot;?????_);_(@_)"/>
    <numFmt numFmtId="177" formatCode="_(* #,##0.000000_);_(* \(#,##0.000000\);_(* &quot;-&quot;??_);_(@_)"/>
  </numFmts>
  <fonts count="48">
    <font>
      <sz val="12"/>
      <name val="Times New Roman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  <charset val="1"/>
    </font>
    <font>
      <sz val="12"/>
      <name val="Arial"/>
      <family val="2"/>
    </font>
    <font>
      <sz val="10"/>
      <name val="Arial"/>
      <family val="2"/>
    </font>
    <font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Arial MT"/>
    </font>
    <font>
      <sz val="10"/>
      <color rgb="FF000000"/>
      <name val="Arial"/>
      <family val="2"/>
    </font>
    <font>
      <sz val="12"/>
      <color rgb="FF0000FF"/>
      <name val="Times New Roman"/>
      <family val="1"/>
    </font>
    <font>
      <sz val="10"/>
      <name val="MS Sans Serif"/>
    </font>
    <font>
      <sz val="10"/>
      <name val="MS Sans Serif"/>
      <family val="2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vertAlign val="superscript"/>
      <sz val="12"/>
      <color rgb="FF00000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">
    <xf numFmtId="0" fontId="0" fillId="0" borderId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9" fillId="0" borderId="0" applyFont="0" applyFill="0" applyBorder="0" applyAlignment="0" applyProtection="0">
      <alignment horizontal="left"/>
    </xf>
    <xf numFmtId="164" fontId="14" fillId="0" borderId="0" applyFont="0" applyAlignment="0" applyProtection="0"/>
    <xf numFmtId="0" fontId="29" fillId="0" borderId="0"/>
    <xf numFmtId="0" fontId="16" fillId="0" borderId="0"/>
    <xf numFmtId="9" fontId="29" fillId="0" borderId="0" applyFont="0" applyFill="0" applyBorder="0" applyAlignment="0" applyProtection="0"/>
    <xf numFmtId="165" fontId="20" fillId="0" borderId="0">
      <alignment horizontal="left"/>
    </xf>
    <xf numFmtId="0" fontId="31" fillId="0" borderId="0"/>
    <xf numFmtId="43" fontId="31" fillId="0" borderId="0" applyFont="0" applyFill="0" applyBorder="0" applyAlignment="0" applyProtection="0"/>
    <xf numFmtId="0" fontId="32" fillId="0" borderId="0">
      <alignment wrapText="1"/>
    </xf>
    <xf numFmtId="0" fontId="33" fillId="0" borderId="0"/>
    <xf numFmtId="43" fontId="1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3" fillId="0" borderId="0"/>
    <xf numFmtId="0" fontId="28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28" fillId="0" borderId="0"/>
    <xf numFmtId="0" fontId="32" fillId="0" borderId="0"/>
    <xf numFmtId="43" fontId="32" fillId="0" borderId="0" applyFont="0" applyFill="0" applyBorder="0" applyAlignment="0" applyProtection="0"/>
    <xf numFmtId="169" fontId="13" fillId="0" borderId="0"/>
    <xf numFmtId="0" fontId="13" fillId="0" borderId="0"/>
    <xf numFmtId="0" fontId="13" fillId="0" borderId="0">
      <alignment wrapText="1"/>
    </xf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28" fillId="0" borderId="0"/>
    <xf numFmtId="0" fontId="34" fillId="0" borderId="0"/>
    <xf numFmtId="0" fontId="33" fillId="0" borderId="0"/>
    <xf numFmtId="0" fontId="9" fillId="0" borderId="0"/>
    <xf numFmtId="0" fontId="8" fillId="0" borderId="0"/>
    <xf numFmtId="0" fontId="7" fillId="0" borderId="0"/>
    <xf numFmtId="0" fontId="36" fillId="0" borderId="0"/>
    <xf numFmtId="0" fontId="13" fillId="0" borderId="0"/>
    <xf numFmtId="43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  <xf numFmtId="0" fontId="36" fillId="0" borderId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0" borderId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>
      <alignment wrapText="1"/>
    </xf>
    <xf numFmtId="0" fontId="36" fillId="0" borderId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0" fontId="13" fillId="0" borderId="0"/>
    <xf numFmtId="43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701">
    <xf numFmtId="0" fontId="0" fillId="0" borderId="0" xfId="0"/>
    <xf numFmtId="0" fontId="0" fillId="0" borderId="0" xfId="0" applyFill="1"/>
    <xf numFmtId="0" fontId="15" fillId="0" borderId="0" xfId="0" applyFont="1" applyFill="1"/>
    <xf numFmtId="0" fontId="15" fillId="0" borderId="0" xfId="0" applyFont="1" applyFill="1" applyBorder="1"/>
    <xf numFmtId="164" fontId="0" fillId="0" borderId="0" xfId="0" applyNumberFormat="1" applyFill="1"/>
    <xf numFmtId="0" fontId="0" fillId="0" borderId="0" xfId="0" applyFill="1" applyAlignment="1">
      <alignment horizontal="center"/>
    </xf>
    <xf numFmtId="3" fontId="15" fillId="0" borderId="0" xfId="0" applyNumberFormat="1" applyFont="1" applyFill="1" applyBorder="1"/>
    <xf numFmtId="0" fontId="0" fillId="0" borderId="0" xfId="0" applyFill="1" applyAlignment="1">
      <alignment horizontal="right"/>
    </xf>
    <xf numFmtId="0" fontId="0" fillId="0" borderId="2" xfId="0" applyFill="1" applyBorder="1"/>
    <xf numFmtId="0" fontId="21" fillId="0" borderId="5" xfId="0" applyFont="1" applyFill="1" applyBorder="1" applyAlignment="1">
      <alignment horizontal="left"/>
    </xf>
    <xf numFmtId="0" fontId="0" fillId="0" borderId="6" xfId="0" applyFill="1" applyBorder="1"/>
    <xf numFmtId="0" fontId="18" fillId="0" borderId="0" xfId="0" applyFont="1" applyFill="1" applyAlignment="1">
      <alignment horizontal="center"/>
    </xf>
    <xf numFmtId="0" fontId="0" fillId="0" borderId="7" xfId="0" applyFill="1" applyBorder="1"/>
    <xf numFmtId="164" fontId="0" fillId="0" borderId="8" xfId="0" applyNumberFormat="1" applyFill="1" applyBorder="1"/>
    <xf numFmtId="164" fontId="0" fillId="0" borderId="9" xfId="0" applyNumberFormat="1" applyFill="1" applyBorder="1"/>
    <xf numFmtId="3" fontId="0" fillId="0" borderId="0" xfId="0" applyNumberFormat="1" applyFill="1"/>
    <xf numFmtId="164" fontId="0" fillId="0" borderId="2" xfId="0" applyNumberFormat="1" applyFill="1" applyBorder="1"/>
    <xf numFmtId="164" fontId="0" fillId="0" borderId="10" xfId="0" applyNumberFormat="1" applyFill="1" applyBorder="1"/>
    <xf numFmtId="164" fontId="0" fillId="0" borderId="4" xfId="0" applyNumberFormat="1" applyFill="1" applyBorder="1"/>
    <xf numFmtId="166" fontId="22" fillId="0" borderId="0" xfId="0" applyNumberFormat="1" applyFont="1" applyFill="1"/>
    <xf numFmtId="0" fontId="0" fillId="0" borderId="1" xfId="0" applyFill="1" applyBorder="1"/>
    <xf numFmtId="0" fontId="23" fillId="0" borderId="0" xfId="0" applyFont="1" applyFill="1"/>
    <xf numFmtId="0" fontId="18" fillId="0" borderId="6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8" xfId="0" applyFill="1" applyBorder="1"/>
    <xf numFmtId="14" fontId="18" fillId="0" borderId="3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right"/>
    </xf>
    <xf numFmtId="164" fontId="15" fillId="0" borderId="0" xfId="1" applyNumberFormat="1" applyFont="1" applyFill="1"/>
    <xf numFmtId="5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14" fontId="15" fillId="0" borderId="0" xfId="0" applyNumberFormat="1" applyFont="1" applyFill="1"/>
    <xf numFmtId="1" fontId="15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 applyProtection="1">
      <alignment horizontal="left" vertical="top"/>
      <protection locked="0"/>
    </xf>
    <xf numFmtId="1" fontId="15" fillId="0" borderId="0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166" fontId="15" fillId="0" borderId="0" xfId="0" applyNumberFormat="1" applyFont="1" applyFill="1"/>
    <xf numFmtId="49" fontId="15" fillId="0" borderId="0" xfId="6" applyNumberFormat="1" applyFont="1" applyFill="1" applyBorder="1"/>
    <xf numFmtId="7" fontId="15" fillId="0" borderId="0" xfId="0" applyNumberFormat="1" applyFont="1" applyFill="1"/>
    <xf numFmtId="0" fontId="3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6" fontId="18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left"/>
    </xf>
    <xf numFmtId="167" fontId="15" fillId="0" borderId="0" xfId="0" applyNumberFormat="1" applyFont="1" applyFill="1" applyBorder="1" applyAlignment="1">
      <alignment horizontal="left"/>
    </xf>
    <xf numFmtId="168" fontId="27" fillId="0" borderId="0" xfId="0" applyNumberFormat="1" applyFont="1" applyFill="1" applyBorder="1" applyAlignment="1" applyProtection="1">
      <alignment horizontal="right" vertical="top"/>
      <protection locked="0"/>
    </xf>
    <xf numFmtId="17" fontId="15" fillId="0" borderId="0" xfId="0" quotePrefix="1" applyNumberFormat="1" applyFont="1" applyFill="1" applyBorder="1" applyAlignment="1">
      <alignment horizontal="left"/>
    </xf>
    <xf numFmtId="0" fontId="15" fillId="0" borderId="0" xfId="0" applyNumberFormat="1" applyFont="1" applyFill="1"/>
    <xf numFmtId="164" fontId="15" fillId="0" borderId="0" xfId="47" applyNumberFormat="1" applyFont="1" applyFill="1" applyBorder="1" applyAlignment="1"/>
    <xf numFmtId="164" fontId="15" fillId="0" borderId="0" xfId="47" applyNumberFormat="1" applyFont="1" applyFill="1" applyBorder="1" applyAlignment="1">
      <alignment horizontal="centerContinuous"/>
    </xf>
    <xf numFmtId="164" fontId="38" fillId="0" borderId="0" xfId="47" applyNumberFormat="1" applyFont="1" applyFill="1" applyBorder="1" applyAlignment="1" applyProtection="1">
      <alignment horizontal="centerContinuous"/>
    </xf>
    <xf numFmtId="164" fontId="39" fillId="0" borderId="0" xfId="47" applyNumberFormat="1" applyFont="1" applyFill="1" applyBorder="1" applyAlignment="1"/>
    <xf numFmtId="164" fontId="15" fillId="0" borderId="18" xfId="47" applyNumberFormat="1" applyFont="1" applyFill="1" applyBorder="1" applyAlignment="1">
      <alignment horizontal="center"/>
    </xf>
    <xf numFmtId="164" fontId="15" fillId="0" borderId="16" xfId="47" applyNumberFormat="1" applyFont="1" applyFill="1" applyBorder="1" applyAlignment="1"/>
    <xf numFmtId="164" fontId="15" fillId="0" borderId="17" xfId="47" applyNumberFormat="1" applyFont="1" applyFill="1" applyBorder="1" applyAlignment="1"/>
    <xf numFmtId="164" fontId="15" fillId="0" borderId="16" xfId="47" applyNumberFormat="1" applyFont="1" applyFill="1" applyBorder="1" applyAlignment="1" applyProtection="1">
      <alignment horizontal="center"/>
    </xf>
    <xf numFmtId="164" fontId="15" fillId="0" borderId="17" xfId="47" applyNumberFormat="1" applyFont="1" applyFill="1" applyBorder="1" applyAlignment="1" applyProtection="1">
      <alignment horizontal="centerContinuous"/>
    </xf>
    <xf numFmtId="164" fontId="38" fillId="0" borderId="17" xfId="47" applyNumberFormat="1" applyFont="1" applyFill="1" applyBorder="1" applyAlignment="1" applyProtection="1">
      <alignment horizontal="left"/>
    </xf>
    <xf numFmtId="164" fontId="15" fillId="0" borderId="12" xfId="47" applyNumberFormat="1" applyFont="1" applyFill="1" applyBorder="1" applyAlignment="1">
      <alignment horizontal="centerContinuous"/>
    </xf>
    <xf numFmtId="164" fontId="15" fillId="0" borderId="17" xfId="47" applyNumberFormat="1" applyFont="1" applyFill="1" applyBorder="1" applyAlignment="1">
      <alignment horizontal="left"/>
    </xf>
    <xf numFmtId="164" fontId="39" fillId="0" borderId="17" xfId="47" applyNumberFormat="1" applyFont="1" applyFill="1" applyBorder="1" applyAlignment="1">
      <alignment horizontal="left"/>
    </xf>
    <xf numFmtId="164" fontId="15" fillId="0" borderId="19" xfId="47" applyNumberFormat="1" applyFont="1" applyFill="1" applyBorder="1" applyAlignment="1"/>
    <xf numFmtId="164" fontId="15" fillId="0" borderId="19" xfId="47" applyNumberFormat="1" applyFont="1" applyFill="1" applyBorder="1" applyAlignment="1">
      <alignment horizontal="left"/>
    </xf>
    <xf numFmtId="164" fontId="15" fillId="0" borderId="16" xfId="47" applyNumberFormat="1" applyFont="1" applyFill="1" applyBorder="1" applyAlignment="1" applyProtection="1">
      <alignment horizontal="centerContinuous"/>
    </xf>
    <xf numFmtId="164" fontId="15" fillId="0" borderId="17" xfId="1" applyNumberFormat="1" applyFont="1" applyFill="1" applyBorder="1" applyAlignment="1"/>
    <xf numFmtId="164" fontId="15" fillId="0" borderId="19" xfId="1" applyNumberFormat="1" applyFont="1" applyFill="1" applyBorder="1" applyAlignment="1"/>
    <xf numFmtId="164" fontId="15" fillId="0" borderId="15" xfId="47" applyNumberFormat="1" applyFont="1" applyFill="1" applyBorder="1" applyAlignment="1">
      <alignment horizontal="centerContinuous"/>
    </xf>
    <xf numFmtId="164" fontId="15" fillId="0" borderId="4" xfId="47" applyNumberFormat="1" applyFont="1" applyFill="1" applyBorder="1" applyAlignment="1"/>
    <xf numFmtId="164" fontId="38" fillId="0" borderId="16" xfId="47" applyNumberFormat="1" applyFont="1" applyFill="1" applyBorder="1" applyAlignment="1" applyProtection="1">
      <alignment horizontal="left"/>
    </xf>
    <xf numFmtId="164" fontId="38" fillId="0" borderId="13" xfId="47" applyNumberFormat="1" applyFont="1" applyFill="1" applyBorder="1" applyAlignment="1" applyProtection="1">
      <alignment horizontal="centerContinuous"/>
    </xf>
    <xf numFmtId="164" fontId="15" fillId="0" borderId="7" xfId="47" applyNumberFormat="1" applyFont="1" applyFill="1" applyBorder="1" applyAlignment="1"/>
    <xf numFmtId="164" fontId="15" fillId="0" borderId="18" xfId="47" applyNumberFormat="1" applyFont="1" applyFill="1" applyBorder="1" applyAlignment="1">
      <alignment horizontal="left"/>
    </xf>
    <xf numFmtId="164" fontId="15" fillId="0" borderId="5" xfId="47" applyNumberFormat="1" applyFont="1" applyFill="1" applyBorder="1" applyAlignment="1" applyProtection="1">
      <alignment horizontal="center"/>
    </xf>
    <xf numFmtId="164" fontId="15" fillId="0" borderId="4" xfId="47" applyNumberFormat="1" applyFont="1" applyFill="1" applyBorder="1" applyAlignment="1" applyProtection="1">
      <alignment horizontal="centerContinuous"/>
    </xf>
    <xf numFmtId="164" fontId="15" fillId="0" borderId="16" xfId="47" quotePrefix="1" applyNumberFormat="1" applyFont="1" applyFill="1" applyBorder="1" applyAlignment="1">
      <alignment horizontal="left"/>
    </xf>
    <xf numFmtId="164" fontId="15" fillId="0" borderId="16" xfId="1" applyNumberFormat="1" applyFont="1" applyFill="1" applyBorder="1" applyAlignment="1"/>
    <xf numFmtId="43" fontId="15" fillId="0" borderId="0" xfId="1" applyFont="1" applyFill="1" applyBorder="1" applyAlignment="1"/>
    <xf numFmtId="164" fontId="15" fillId="0" borderId="0" xfId="1" applyNumberFormat="1" applyFont="1" applyFill="1" applyBorder="1" applyAlignment="1"/>
    <xf numFmtId="164" fontId="15" fillId="0" borderId="3" xfId="47" applyNumberFormat="1" applyFont="1" applyFill="1" applyBorder="1" applyAlignment="1">
      <alignment horizontal="center"/>
    </xf>
    <xf numFmtId="164" fontId="15" fillId="0" borderId="3" xfId="47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164" fontId="15" fillId="0" borderId="13" xfId="47" applyNumberFormat="1" applyFont="1" applyFill="1" applyBorder="1" applyAlignment="1">
      <alignment horizontal="centerContinuous"/>
    </xf>
    <xf numFmtId="164" fontId="15" fillId="0" borderId="4" xfId="47" applyNumberFormat="1" applyFont="1" applyFill="1" applyBorder="1" applyAlignment="1">
      <alignment horizontal="left"/>
    </xf>
    <xf numFmtId="164" fontId="39" fillId="0" borderId="4" xfId="47" applyNumberFormat="1" applyFont="1" applyFill="1" applyBorder="1" applyAlignment="1">
      <alignment horizontal="left"/>
    </xf>
    <xf numFmtId="164" fontId="15" fillId="0" borderId="5" xfId="47" quotePrefix="1" applyNumberFormat="1" applyFont="1" applyFill="1" applyBorder="1" applyAlignment="1">
      <alignment horizontal="left"/>
    </xf>
    <xf numFmtId="164" fontId="15" fillId="0" borderId="12" xfId="47" applyNumberFormat="1" applyFont="1" applyFill="1" applyBorder="1" applyAlignment="1">
      <alignment horizontal="left"/>
    </xf>
    <xf numFmtId="164" fontId="15" fillId="0" borderId="7" xfId="47" applyNumberFormat="1" applyFont="1" applyFill="1" applyBorder="1" applyAlignment="1" applyProtection="1">
      <alignment horizontal="center"/>
    </xf>
    <xf numFmtId="164" fontId="39" fillId="0" borderId="1" xfId="47" applyNumberFormat="1" applyFont="1" applyFill="1" applyBorder="1" applyAlignment="1">
      <alignment horizontal="left"/>
    </xf>
    <xf numFmtId="164" fontId="15" fillId="0" borderId="7" xfId="47" quotePrefix="1" applyNumberFormat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horizontal="left"/>
    </xf>
    <xf numFmtId="164" fontId="0" fillId="0" borderId="0" xfId="76" applyNumberFormat="1" applyFont="1" applyFill="1" applyBorder="1" applyAlignment="1"/>
    <xf numFmtId="164" fontId="15" fillId="0" borderId="0" xfId="76" applyNumberFormat="1" applyFont="1" applyFill="1" applyBorder="1" applyAlignment="1"/>
    <xf numFmtId="164" fontId="15" fillId="0" borderId="6" xfId="47" applyNumberFormat="1" applyFont="1" applyFill="1" applyBorder="1" applyAlignment="1"/>
    <xf numFmtId="164" fontId="15" fillId="0" borderId="14" xfId="47" applyNumberFormat="1" applyFont="1" applyFill="1" applyBorder="1" applyAlignment="1">
      <alignment horizontal="centerContinuous"/>
    </xf>
    <xf numFmtId="164" fontId="15" fillId="0" borderId="1" xfId="47" applyNumberFormat="1" applyFont="1" applyFill="1" applyBorder="1" applyAlignment="1" applyProtection="1">
      <alignment horizontal="centerContinuous"/>
    </xf>
    <xf numFmtId="164" fontId="15" fillId="0" borderId="18" xfId="47" applyNumberFormat="1" applyFont="1" applyFill="1" applyBorder="1" applyAlignment="1">
      <alignment horizontal="centerContinuous"/>
    </xf>
    <xf numFmtId="164" fontId="15" fillId="0" borderId="11" xfId="47" applyNumberFormat="1" applyFont="1" applyFill="1" applyBorder="1" applyAlignment="1">
      <alignment horizontal="centerContinuous"/>
    </xf>
    <xf numFmtId="164" fontId="15" fillId="0" borderId="14" xfId="47" applyNumberFormat="1" applyFont="1" applyFill="1" applyBorder="1" applyAlignment="1">
      <alignment horizontal="center"/>
    </xf>
    <xf numFmtId="164" fontId="15" fillId="0" borderId="5" xfId="47" applyNumberFormat="1" applyFont="1" applyFill="1" applyBorder="1" applyAlignment="1"/>
    <xf numFmtId="164" fontId="0" fillId="0" borderId="17" xfId="76" applyNumberFormat="1" applyFont="1" applyFill="1" applyBorder="1" applyAlignment="1"/>
    <xf numFmtId="164" fontId="40" fillId="0" borderId="17" xfId="1" applyNumberFormat="1" applyFont="1" applyFill="1" applyBorder="1" applyAlignment="1">
      <alignment horizontal="left"/>
    </xf>
    <xf numFmtId="164" fontId="15" fillId="0" borderId="17" xfId="76" applyNumberFormat="1" applyFont="1" applyFill="1" applyBorder="1" applyAlignment="1"/>
    <xf numFmtId="12" fontId="15" fillId="0" borderId="18" xfId="41" applyNumberFormat="1" applyFont="1" applyFill="1" applyBorder="1" applyAlignment="1">
      <alignment horizontal="center"/>
    </xf>
    <xf numFmtId="12" fontId="15" fillId="0" borderId="11" xfId="41" applyNumberFormat="1" applyFont="1" applyFill="1" applyBorder="1" applyAlignment="1">
      <alignment horizontal="center"/>
    </xf>
    <xf numFmtId="12" fontId="15" fillId="0" borderId="0" xfId="41" applyNumberFormat="1" applyFont="1" applyFill="1" applyBorder="1" applyAlignment="1">
      <alignment horizontal="left"/>
    </xf>
    <xf numFmtId="12" fontId="17" fillId="0" borderId="0" xfId="41" applyNumberFormat="1" applyFont="1" applyFill="1" applyBorder="1" applyAlignment="1">
      <alignment horizontal="left"/>
    </xf>
    <xf numFmtId="164" fontId="41" fillId="0" borderId="0" xfId="41" applyNumberFormat="1" applyFont="1" applyFill="1" applyBorder="1" applyAlignment="1">
      <alignment horizontal="center"/>
    </xf>
    <xf numFmtId="0" fontId="41" fillId="0" borderId="0" xfId="41" applyFont="1" applyFill="1" applyBorder="1" applyAlignment="1">
      <alignment horizontal="center"/>
    </xf>
    <xf numFmtId="164" fontId="42" fillId="0" borderId="0" xfId="41" applyNumberFormat="1" applyFont="1" applyFill="1" applyBorder="1"/>
    <xf numFmtId="0" fontId="42" fillId="0" borderId="0" xfId="41" applyFont="1" applyFill="1" applyBorder="1"/>
    <xf numFmtId="164" fontId="35" fillId="0" borderId="0" xfId="47" applyNumberFormat="1" applyFont="1" applyFill="1" applyBorder="1" applyAlignment="1">
      <alignment horizontal="left"/>
    </xf>
    <xf numFmtId="164" fontId="35" fillId="0" borderId="0" xfId="1" applyNumberFormat="1" applyFont="1" applyFill="1"/>
    <xf numFmtId="164" fontId="40" fillId="0" borderId="0" xfId="47" applyNumberFormat="1" applyFont="1" applyFill="1" applyBorder="1" applyAlignment="1">
      <alignment horizontal="left"/>
    </xf>
    <xf numFmtId="164" fontId="0" fillId="0" borderId="0" xfId="75" applyNumberFormat="1" applyFont="1" applyFill="1" applyBorder="1" applyAlignment="1"/>
    <xf numFmtId="164" fontId="0" fillId="0" borderId="0" xfId="75" applyNumberFormat="1" applyFont="1" applyFill="1" applyAlignment="1"/>
    <xf numFmtId="164" fontId="15" fillId="0" borderId="12" xfId="75" applyNumberFormat="1" applyFont="1" applyFill="1" applyBorder="1" applyAlignment="1">
      <alignment horizontal="centerContinuous"/>
    </xf>
    <xf numFmtId="164" fontId="0" fillId="0" borderId="13" xfId="75" applyNumberFormat="1" applyFont="1" applyFill="1" applyBorder="1" applyAlignment="1">
      <alignment horizontal="centerContinuous"/>
    </xf>
    <xf numFmtId="164" fontId="0" fillId="0" borderId="14" xfId="75" applyNumberFormat="1" applyFont="1" applyFill="1" applyBorder="1" applyAlignment="1">
      <alignment horizontal="centerContinuous"/>
    </xf>
    <xf numFmtId="164" fontId="0" fillId="0" borderId="16" xfId="75" applyNumberFormat="1" applyFont="1" applyFill="1" applyBorder="1" applyAlignment="1"/>
    <xf numFmtId="164" fontId="0" fillId="0" borderId="5" xfId="75" applyNumberFormat="1" applyFont="1" applyFill="1" applyBorder="1" applyAlignment="1"/>
    <xf numFmtId="164" fontId="0" fillId="0" borderId="16" xfId="75" quotePrefix="1" applyNumberFormat="1" applyFont="1" applyFill="1" applyBorder="1" applyAlignment="1">
      <alignment horizontal="center"/>
    </xf>
    <xf numFmtId="171" fontId="40" fillId="0" borderId="16" xfId="76" applyNumberFormat="1" applyFont="1" applyFill="1" applyBorder="1" applyAlignment="1">
      <alignment horizontal="center"/>
    </xf>
    <xf numFmtId="164" fontId="15" fillId="0" borderId="18" xfId="75" applyNumberFormat="1" applyFont="1" applyFill="1" applyBorder="1" applyAlignment="1">
      <alignment horizontal="center"/>
    </xf>
    <xf numFmtId="164" fontId="15" fillId="0" borderId="16" xfId="60" applyNumberFormat="1" applyFont="1" applyFill="1" applyBorder="1" applyAlignment="1">
      <alignment horizontal="left"/>
    </xf>
    <xf numFmtId="164" fontId="35" fillId="0" borderId="16" xfId="75" applyNumberFormat="1" applyFont="1" applyFill="1" applyBorder="1" applyAlignment="1"/>
    <xf numFmtId="164" fontId="0" fillId="0" borderId="17" xfId="75" applyNumberFormat="1" applyFont="1" applyFill="1" applyBorder="1" applyAlignment="1"/>
    <xf numFmtId="164" fontId="15" fillId="0" borderId="17" xfId="60" applyNumberFormat="1" applyFont="1" applyFill="1" applyBorder="1" applyAlignment="1">
      <alignment horizontal="left"/>
    </xf>
    <xf numFmtId="43" fontId="0" fillId="0" borderId="4" xfId="75" quotePrefix="1" applyFont="1" applyFill="1" applyBorder="1" applyAlignment="1"/>
    <xf numFmtId="164" fontId="15" fillId="0" borderId="17" xfId="75" applyNumberFormat="1" applyFont="1" applyFill="1" applyBorder="1" applyAlignment="1"/>
    <xf numFmtId="164" fontId="35" fillId="0" borderId="17" xfId="75" applyNumberFormat="1" applyFont="1" applyFill="1" applyBorder="1" applyAlignment="1"/>
    <xf numFmtId="164" fontId="0" fillId="0" borderId="4" xfId="75" quotePrefix="1" applyNumberFormat="1" applyFont="1" applyFill="1" applyBorder="1" applyAlignment="1"/>
    <xf numFmtId="164" fontId="0" fillId="0" borderId="4" xfId="75" applyNumberFormat="1" applyFont="1" applyFill="1" applyBorder="1" applyAlignment="1"/>
    <xf numFmtId="43" fontId="0" fillId="0" borderId="18" xfId="75" applyNumberFormat="1" applyFont="1" applyFill="1" applyBorder="1" applyAlignment="1"/>
    <xf numFmtId="164" fontId="0" fillId="0" borderId="18" xfId="75" applyNumberFormat="1" applyFont="1" applyFill="1" applyBorder="1" applyAlignment="1"/>
    <xf numFmtId="164" fontId="15" fillId="0" borderId="18" xfId="60" applyNumberFormat="1" applyFont="1" applyFill="1" applyBorder="1" applyAlignment="1">
      <alignment horizontal="left"/>
    </xf>
    <xf numFmtId="164" fontId="0" fillId="0" borderId="11" xfId="75" applyNumberFormat="1" applyFont="1" applyFill="1" applyBorder="1" applyAlignment="1"/>
    <xf numFmtId="164" fontId="15" fillId="0" borderId="18" xfId="75" applyNumberFormat="1" applyFont="1" applyFill="1" applyBorder="1" applyAlignment="1"/>
    <xf numFmtId="164" fontId="35" fillId="0" borderId="18" xfId="75" applyNumberFormat="1" applyFont="1" applyFill="1" applyBorder="1" applyAlignment="1"/>
    <xf numFmtId="164" fontId="0" fillId="0" borderId="0" xfId="75" applyNumberFormat="1" applyFont="1" applyFill="1" applyBorder="1" applyAlignment="1">
      <alignment horizontal="left"/>
    </xf>
    <xf numFmtId="164" fontId="0" fillId="0" borderId="0" xfId="1" applyNumberFormat="1" applyFont="1" applyFill="1"/>
    <xf numFmtId="164" fontId="0" fillId="0" borderId="17" xfId="1" applyNumberFormat="1" applyFont="1" applyFill="1" applyBorder="1"/>
    <xf numFmtId="164" fontId="0" fillId="0" borderId="18" xfId="1" applyNumberFormat="1" applyFont="1" applyFill="1" applyBorder="1"/>
    <xf numFmtId="164" fontId="0" fillId="0" borderId="0" xfId="1" applyNumberFormat="1" applyFont="1" applyFill="1" applyBorder="1"/>
    <xf numFmtId="164" fontId="0" fillId="0" borderId="16" xfId="76" applyNumberFormat="1" applyFont="1" applyFill="1" applyBorder="1" applyAlignment="1"/>
    <xf numFmtId="164" fontId="15" fillId="0" borderId="16" xfId="76" applyNumberFormat="1" applyFont="1" applyFill="1" applyBorder="1" applyAlignment="1"/>
    <xf numFmtId="164" fontId="0" fillId="0" borderId="16" xfId="1" applyNumberFormat="1" applyFont="1" applyFill="1" applyBorder="1" applyAlignment="1"/>
    <xf numFmtId="164" fontId="35" fillId="0" borderId="16" xfId="76" applyNumberFormat="1" applyFont="1" applyFill="1" applyBorder="1" applyAlignment="1">
      <alignment horizontal="center"/>
    </xf>
    <xf numFmtId="164" fontId="0" fillId="0" borderId="17" xfId="1" applyNumberFormat="1" applyFont="1" applyFill="1" applyBorder="1" applyAlignment="1"/>
    <xf numFmtId="164" fontId="35" fillId="0" borderId="17" xfId="76" applyNumberFormat="1" applyFont="1" applyFill="1" applyBorder="1" applyAlignment="1">
      <alignment horizontal="right"/>
    </xf>
    <xf numFmtId="164" fontId="15" fillId="0" borderId="18" xfId="76" applyNumberFormat="1" applyFont="1" applyFill="1" applyBorder="1" applyAlignment="1"/>
    <xf numFmtId="164" fontId="0" fillId="0" borderId="18" xfId="1" applyNumberFormat="1" applyFont="1" applyFill="1" applyBorder="1" applyAlignment="1"/>
    <xf numFmtId="164" fontId="0" fillId="0" borderId="18" xfId="76" applyNumberFormat="1" applyFont="1" applyFill="1" applyBorder="1" applyAlignment="1"/>
    <xf numFmtId="164" fontId="35" fillId="0" borderId="18" xfId="76" applyNumberFormat="1" applyFont="1" applyFill="1" applyBorder="1" applyAlignment="1">
      <alignment horizontal="right"/>
    </xf>
    <xf numFmtId="164" fontId="35" fillId="0" borderId="16" xfId="76" applyNumberFormat="1" applyFont="1" applyFill="1" applyBorder="1" applyAlignment="1">
      <alignment horizontal="right"/>
    </xf>
    <xf numFmtId="164" fontId="35" fillId="0" borderId="17" xfId="76" applyNumberFormat="1" applyFont="1" applyFill="1" applyBorder="1" applyAlignment="1"/>
    <xf numFmtId="164" fontId="35" fillId="0" borderId="18" xfId="76" applyNumberFormat="1" applyFont="1" applyFill="1" applyBorder="1" applyAlignment="1"/>
    <xf numFmtId="164" fontId="15" fillId="0" borderId="0" xfId="59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5" fillId="0" borderId="0" xfId="58" applyFont="1" applyFill="1" applyBorder="1"/>
    <xf numFmtId="0" fontId="15" fillId="0" borderId="0" xfId="58" applyFont="1" applyFill="1" applyBorder="1" applyAlignment="1">
      <alignment horizontal="center"/>
    </xf>
    <xf numFmtId="164" fontId="15" fillId="0" borderId="3" xfId="1" applyNumberFormat="1" applyFont="1" applyFill="1" applyBorder="1" applyAlignment="1">
      <alignment horizontal="center"/>
    </xf>
    <xf numFmtId="0" fontId="15" fillId="0" borderId="0" xfId="58" applyFont="1" applyFill="1"/>
    <xf numFmtId="164" fontId="15" fillId="0" borderId="0" xfId="1" applyNumberFormat="1" applyFont="1" applyFill="1" applyBorder="1"/>
    <xf numFmtId="164" fontId="15" fillId="0" borderId="3" xfId="1" applyNumberFormat="1" applyFont="1" applyFill="1" applyBorder="1" applyAlignment="1">
      <alignment horizontal="centerContinuous"/>
    </xf>
    <xf numFmtId="164" fontId="15" fillId="0" borderId="3" xfId="1" applyNumberFormat="1" applyFont="1" applyFill="1" applyBorder="1"/>
    <xf numFmtId="164" fontId="15" fillId="0" borderId="6" xfId="1" applyNumberFormat="1" applyFont="1" applyFill="1" applyBorder="1" applyAlignment="1"/>
    <xf numFmtId="164" fontId="15" fillId="0" borderId="0" xfId="47" applyNumberFormat="1" applyFont="1" applyFill="1" applyBorder="1" applyAlignment="1" applyProtection="1">
      <alignment horizontal="left"/>
    </xf>
    <xf numFmtId="164" fontId="15" fillId="0" borderId="11" xfId="47" applyNumberFormat="1" applyFont="1" applyFill="1" applyBorder="1" applyAlignment="1" applyProtection="1">
      <alignment horizontal="centerContinuous"/>
    </xf>
    <xf numFmtId="164" fontId="15" fillId="0" borderId="0" xfId="47" applyNumberFormat="1" applyFont="1" applyFill="1" applyBorder="1" applyAlignment="1" applyProtection="1">
      <alignment horizontal="center"/>
    </xf>
    <xf numFmtId="164" fontId="15" fillId="0" borderId="15" xfId="47" applyNumberFormat="1" applyFont="1" applyFill="1" applyBorder="1" applyAlignment="1" applyProtection="1">
      <alignment horizontal="center"/>
    </xf>
    <xf numFmtId="164" fontId="15" fillId="0" borderId="16" xfId="47" quotePrefix="1" applyNumberFormat="1" applyFont="1" applyFill="1" applyBorder="1" applyAlignment="1" applyProtection="1">
      <alignment horizontal="center"/>
    </xf>
    <xf numFmtId="164" fontId="0" fillId="0" borderId="17" xfId="1" applyNumberFormat="1" applyFont="1" applyBorder="1" applyAlignment="1"/>
    <xf numFmtId="43" fontId="0" fillId="0" borderId="17" xfId="75" applyNumberFormat="1" applyFont="1" applyFill="1" applyBorder="1" applyAlignment="1"/>
    <xf numFmtId="164" fontId="0" fillId="0" borderId="4" xfId="56" applyNumberFormat="1" applyFont="1" applyBorder="1" applyAlignment="1"/>
    <xf numFmtId="164" fontId="0" fillId="0" borderId="5" xfId="56" applyNumberFormat="1" applyFont="1" applyBorder="1" applyAlignment="1"/>
    <xf numFmtId="164" fontId="0" fillId="0" borderId="11" xfId="56" applyNumberFormat="1" applyFont="1" applyBorder="1" applyAlignment="1"/>
    <xf numFmtId="164" fontId="0" fillId="0" borderId="7" xfId="75" applyNumberFormat="1" applyFont="1" applyFill="1" applyBorder="1" applyAlignment="1">
      <alignment horizontal="centerContinuous"/>
    </xf>
    <xf numFmtId="164" fontId="15" fillId="0" borderId="16" xfId="75" applyNumberFormat="1" applyFont="1" applyFill="1" applyBorder="1" applyAlignment="1"/>
    <xf numFmtId="172" fontId="15" fillId="0" borderId="17" xfId="1" applyNumberFormat="1" applyFont="1" applyFill="1" applyBorder="1" applyAlignment="1">
      <alignment horizontal="center"/>
    </xf>
    <xf numFmtId="172" fontId="35" fillId="0" borderId="16" xfId="1" applyNumberFormat="1" applyFont="1" applyFill="1" applyBorder="1" applyAlignment="1">
      <alignment horizontal="center"/>
    </xf>
    <xf numFmtId="172" fontId="35" fillId="0" borderId="17" xfId="1" applyNumberFormat="1" applyFont="1" applyFill="1" applyBorder="1" applyAlignment="1">
      <alignment horizontal="center"/>
    </xf>
    <xf numFmtId="172" fontId="35" fillId="0" borderId="18" xfId="1" applyNumberFormat="1" applyFont="1" applyFill="1" applyBorder="1" applyAlignment="1">
      <alignment horizontal="center"/>
    </xf>
    <xf numFmtId="173" fontId="35" fillId="0" borderId="17" xfId="1" applyNumberFormat="1" applyFont="1" applyFill="1" applyBorder="1" applyAlignment="1">
      <alignment horizontal="center"/>
    </xf>
    <xf numFmtId="173" fontId="15" fillId="0" borderId="17" xfId="1" applyNumberFormat="1" applyFont="1" applyFill="1" applyBorder="1" applyAlignment="1">
      <alignment horizontal="center"/>
    </xf>
    <xf numFmtId="172" fontId="15" fillId="0" borderId="19" xfId="1" applyNumberFormat="1" applyFont="1" applyFill="1" applyBorder="1" applyAlignment="1">
      <alignment horizontal="centerContinuous"/>
    </xf>
    <xf numFmtId="174" fontId="15" fillId="0" borderId="18" xfId="1" applyNumberFormat="1" applyFont="1" applyFill="1" applyBorder="1" applyAlignment="1">
      <alignment horizontal="center"/>
    </xf>
    <xf numFmtId="164" fontId="15" fillId="0" borderId="17" xfId="47" applyNumberFormat="1" applyFont="1" applyFill="1" applyBorder="1" applyAlignment="1">
      <alignment horizontal="center"/>
    </xf>
    <xf numFmtId="164" fontId="15" fillId="0" borderId="4" xfId="47" applyNumberFormat="1" applyFont="1" applyFill="1" applyBorder="1" applyAlignment="1">
      <alignment horizontal="centerContinuous"/>
    </xf>
    <xf numFmtId="164" fontId="38" fillId="0" borderId="0" xfId="47" applyNumberFormat="1" applyFont="1" applyFill="1" applyBorder="1" applyAlignment="1" applyProtection="1">
      <alignment horizontal="left"/>
    </xf>
    <xf numFmtId="164" fontId="38" fillId="0" borderId="6" xfId="47" applyNumberFormat="1" applyFont="1" applyFill="1" applyBorder="1" applyAlignment="1" applyProtection="1">
      <alignment horizontal="centerContinuous"/>
    </xf>
    <xf numFmtId="164" fontId="38" fillId="0" borderId="5" xfId="47" applyNumberFormat="1" applyFont="1" applyFill="1" applyBorder="1" applyAlignment="1" applyProtection="1">
      <alignment horizontal="centerContinuous"/>
    </xf>
    <xf numFmtId="164" fontId="38" fillId="0" borderId="7" xfId="47" applyNumberFormat="1" applyFont="1" applyFill="1" applyBorder="1" applyAlignment="1" applyProtection="1">
      <alignment horizontal="centerContinuous"/>
    </xf>
    <xf numFmtId="164" fontId="38" fillId="0" borderId="11" xfId="47" applyNumberFormat="1" applyFont="1" applyFill="1" applyBorder="1" applyAlignment="1" applyProtection="1">
      <alignment horizontal="centerContinuous"/>
    </xf>
    <xf numFmtId="164" fontId="38" fillId="0" borderId="15" xfId="47" applyNumberFormat="1" applyFont="1" applyFill="1" applyBorder="1" applyAlignment="1" applyProtection="1">
      <alignment horizontal="centerContinuous"/>
    </xf>
    <xf numFmtId="164" fontId="15" fillId="0" borderId="6" xfId="47" applyNumberFormat="1" applyFont="1" applyFill="1" applyBorder="1" applyAlignment="1">
      <alignment horizontal="centerContinuous"/>
    </xf>
    <xf numFmtId="164" fontId="14" fillId="0" borderId="6" xfId="47" applyNumberFormat="1" applyFont="1" applyFill="1" applyBorder="1" applyAlignment="1">
      <alignment horizontal="centerContinuous"/>
    </xf>
    <xf numFmtId="12" fontId="15" fillId="0" borderId="18" xfId="41" applyNumberFormat="1" applyFont="1" applyFill="1" applyBorder="1" applyAlignment="1">
      <alignment horizontal="centerContinuous"/>
    </xf>
    <xf numFmtId="164" fontId="14" fillId="0" borderId="18" xfId="47" applyNumberFormat="1" applyFont="1" applyFill="1" applyBorder="1" applyAlignment="1">
      <alignment horizontal="centerContinuous"/>
    </xf>
    <xf numFmtId="164" fontId="15" fillId="0" borderId="5" xfId="47" applyNumberFormat="1" applyFont="1" applyFill="1" applyBorder="1" applyAlignment="1">
      <alignment horizontal="centerContinuous"/>
    </xf>
    <xf numFmtId="164" fontId="14" fillId="0" borderId="7" xfId="47" applyNumberFormat="1" applyFont="1" applyFill="1" applyBorder="1" applyAlignment="1">
      <alignment horizontal="centerContinuous"/>
    </xf>
    <xf numFmtId="14" fontId="15" fillId="0" borderId="18" xfId="1" applyNumberFormat="1" applyFont="1" applyFill="1" applyBorder="1" applyAlignment="1">
      <alignment horizontal="center"/>
    </xf>
    <xf numFmtId="164" fontId="15" fillId="0" borderId="0" xfId="47" applyNumberFormat="1" applyFont="1" applyFill="1" applyBorder="1" applyAlignment="1">
      <alignment horizontal="center"/>
    </xf>
    <xf numFmtId="164" fontId="15" fillId="0" borderId="7" xfId="47" applyNumberFormat="1" applyFont="1" applyFill="1" applyBorder="1" applyAlignment="1">
      <alignment horizontal="centerContinuous"/>
    </xf>
    <xf numFmtId="164" fontId="15" fillId="0" borderId="16" xfId="47" applyNumberFormat="1" applyFont="1" applyFill="1" applyBorder="1" applyAlignment="1">
      <alignment horizontal="centerContinuous"/>
    </xf>
    <xf numFmtId="164" fontId="15" fillId="0" borderId="18" xfId="47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43" fontId="0" fillId="0" borderId="0" xfId="1" applyFont="1"/>
    <xf numFmtId="171" fontId="40" fillId="0" borderId="18" xfId="2" applyNumberFormat="1" applyFont="1" applyBorder="1" applyAlignment="1">
      <alignment horizontal="center"/>
    </xf>
    <xf numFmtId="164" fontId="15" fillId="0" borderId="19" xfId="75" quotePrefix="1" applyNumberFormat="1" applyFont="1" applyFill="1" applyBorder="1" applyAlignment="1">
      <alignment horizontal="center"/>
    </xf>
    <xf numFmtId="164" fontId="35" fillId="0" borderId="19" xfId="1" applyNumberFormat="1" applyFont="1" applyBorder="1" applyAlignment="1"/>
    <xf numFmtId="164" fontId="0" fillId="0" borderId="19" xfId="1" applyNumberFormat="1" applyFont="1" applyBorder="1"/>
    <xf numFmtId="0" fontId="15" fillId="0" borderId="15" xfId="47" applyNumberFormat="1" applyFont="1" applyFill="1" applyBorder="1" applyAlignment="1" applyProtection="1">
      <alignment horizontal="center"/>
    </xf>
    <xf numFmtId="164" fontId="15" fillId="0" borderId="17" xfId="59" applyNumberFormat="1" applyFont="1" applyFill="1" applyBorder="1" applyAlignment="1">
      <alignment horizontal="left"/>
    </xf>
    <xf numFmtId="164" fontId="15" fillId="0" borderId="18" xfId="59" applyNumberFormat="1" applyFont="1" applyFill="1" applyBorder="1" applyAlignment="1">
      <alignment horizontal="left"/>
    </xf>
    <xf numFmtId="164" fontId="15" fillId="0" borderId="17" xfId="1" applyNumberFormat="1" applyFont="1" applyFill="1" applyBorder="1" applyAlignment="1">
      <alignment horizontal="center"/>
    </xf>
    <xf numFmtId="164" fontId="15" fillId="0" borderId="18" xfId="1" applyNumberFormat="1" applyFont="1" applyFill="1" applyBorder="1" applyAlignment="1">
      <alignment horizontal="center"/>
    </xf>
    <xf numFmtId="164" fontId="15" fillId="0" borderId="16" xfId="59" applyNumberFormat="1" applyFont="1" applyFill="1" applyBorder="1" applyAlignment="1">
      <alignment horizontal="left"/>
    </xf>
    <xf numFmtId="164" fontId="15" fillId="0" borderId="16" xfId="1" applyNumberFormat="1" applyFont="1" applyFill="1" applyBorder="1" applyAlignment="1">
      <alignment horizontal="center"/>
    </xf>
    <xf numFmtId="170" fontId="35" fillId="0" borderId="16" xfId="1" applyNumberFormat="1" applyFont="1" applyFill="1" applyBorder="1" applyAlignment="1">
      <alignment horizontal="center"/>
    </xf>
    <xf numFmtId="170" fontId="35" fillId="0" borderId="18" xfId="1" applyNumberFormat="1" applyFont="1" applyFill="1" applyBorder="1" applyAlignment="1">
      <alignment horizontal="center"/>
    </xf>
    <xf numFmtId="164" fontId="15" fillId="0" borderId="14" xfId="1" applyNumberFormat="1" applyFont="1" applyFill="1" applyBorder="1" applyAlignment="1">
      <alignment horizontal="centerContinuous"/>
    </xf>
    <xf numFmtId="164" fontId="15" fillId="0" borderId="5" xfId="76" applyNumberFormat="1" applyFont="1" applyFill="1" applyBorder="1" applyAlignment="1">
      <alignment horizontal="centerContinuous"/>
    </xf>
    <xf numFmtId="164" fontId="0" fillId="0" borderId="6" xfId="76" applyNumberFormat="1" applyFont="1" applyFill="1" applyBorder="1" applyAlignment="1">
      <alignment horizontal="centerContinuous"/>
    </xf>
    <xf numFmtId="164" fontId="0" fillId="0" borderId="7" xfId="76" applyNumberFormat="1" applyFont="1" applyFill="1" applyBorder="1" applyAlignment="1">
      <alignment horizontal="centerContinuous"/>
    </xf>
    <xf numFmtId="164" fontId="15" fillId="0" borderId="17" xfId="1" applyNumberFormat="1" applyFont="1" applyFill="1" applyBorder="1"/>
    <xf numFmtId="164" fontId="15" fillId="0" borderId="17" xfId="59" applyNumberFormat="1" applyFont="1" applyFill="1" applyBorder="1"/>
    <xf numFmtId="164" fontId="0" fillId="0" borderId="19" xfId="76" applyNumberFormat="1" applyFont="1" applyFill="1" applyBorder="1" applyAlignment="1"/>
    <xf numFmtId="164" fontId="15" fillId="0" borderId="19" xfId="76" applyNumberFormat="1" applyFont="1" applyFill="1" applyBorder="1" applyAlignment="1"/>
    <xf numFmtId="171" fontId="40" fillId="0" borderId="19" xfId="76" applyNumberFormat="1" applyFont="1" applyFill="1" applyBorder="1" applyAlignment="1">
      <alignment horizontal="center"/>
    </xf>
    <xf numFmtId="171" fontId="40" fillId="0" borderId="17" xfId="76" applyNumberFormat="1" applyFont="1" applyFill="1" applyBorder="1" applyAlignment="1">
      <alignment horizontal="center"/>
    </xf>
    <xf numFmtId="164" fontId="15" fillId="0" borderId="19" xfId="59" applyNumberFormat="1" applyFont="1" applyFill="1" applyBorder="1" applyAlignment="1">
      <alignment horizontal="left"/>
    </xf>
    <xf numFmtId="164" fontId="0" fillId="0" borderId="19" xfId="1" applyNumberFormat="1" applyFont="1" applyFill="1" applyBorder="1" applyAlignment="1"/>
    <xf numFmtId="164" fontId="15" fillId="0" borderId="19" xfId="1" applyNumberFormat="1" applyFont="1" applyFill="1" applyBorder="1" applyAlignment="1">
      <alignment horizontal="center"/>
    </xf>
    <xf numFmtId="43" fontId="0" fillId="0" borderId="0" xfId="1" applyFont="1" applyFill="1"/>
    <xf numFmtId="164" fontId="15" fillId="0" borderId="17" xfId="76" quotePrefix="1" applyNumberFormat="1" applyFont="1" applyFill="1" applyBorder="1" applyAlignment="1"/>
    <xf numFmtId="0" fontId="15" fillId="0" borderId="0" xfId="59" applyNumberFormat="1" applyFont="1" applyFill="1" applyBorder="1" applyAlignment="1">
      <alignment horizontal="left"/>
    </xf>
    <xf numFmtId="164" fontId="15" fillId="0" borderId="15" xfId="1" applyNumberFormat="1" applyFont="1" applyFill="1" applyBorder="1" applyAlignment="1">
      <alignment horizontal="center"/>
    </xf>
    <xf numFmtId="0" fontId="15" fillId="0" borderId="19" xfId="1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164" fontId="0" fillId="0" borderId="0" xfId="1" applyNumberFormat="1" applyFont="1" applyFill="1" applyAlignment="1">
      <alignment horizontal="left"/>
    </xf>
    <xf numFmtId="164" fontId="15" fillId="0" borderId="6" xfId="1" quotePrefix="1" applyNumberFormat="1" applyFont="1" applyFill="1" applyBorder="1" applyAlignment="1">
      <alignment horizontal="centerContinuous"/>
    </xf>
    <xf numFmtId="164" fontId="15" fillId="0" borderId="7" xfId="76" applyNumberFormat="1" applyFont="1" applyFill="1" applyBorder="1" applyAlignment="1"/>
    <xf numFmtId="164" fontId="15" fillId="0" borderId="7" xfId="59" applyNumberFormat="1" applyFont="1" applyFill="1" applyBorder="1" applyAlignment="1">
      <alignment horizontal="left"/>
    </xf>
    <xf numFmtId="164" fontId="15" fillId="0" borderId="1" xfId="59" applyNumberFormat="1" applyFont="1" applyFill="1" applyBorder="1" applyAlignment="1">
      <alignment horizontal="left"/>
    </xf>
    <xf numFmtId="164" fontId="15" fillId="0" borderId="15" xfId="59" applyNumberFormat="1" applyFont="1" applyFill="1" applyBorder="1" applyAlignment="1">
      <alignment horizontal="left"/>
    </xf>
    <xf numFmtId="164" fontId="15" fillId="0" borderId="1" xfId="76" applyNumberFormat="1" applyFont="1" applyFill="1" applyBorder="1" applyAlignment="1"/>
    <xf numFmtId="43" fontId="15" fillId="0" borderId="5" xfId="59" applyFont="1" applyFill="1" applyBorder="1" applyAlignment="1">
      <alignment horizontal="centerContinuous"/>
    </xf>
    <xf numFmtId="43" fontId="15" fillId="0" borderId="6" xfId="59" applyFont="1" applyFill="1" applyBorder="1" applyAlignment="1">
      <alignment horizontal="centerContinuous"/>
    </xf>
    <xf numFmtId="164" fontId="15" fillId="0" borderId="6" xfId="59" applyNumberFormat="1" applyFont="1" applyFill="1" applyBorder="1" applyAlignment="1">
      <alignment horizontal="centerContinuous"/>
    </xf>
    <xf numFmtId="164" fontId="40" fillId="0" borderId="6" xfId="59" applyNumberFormat="1" applyFont="1" applyFill="1" applyBorder="1" applyAlignment="1">
      <alignment horizontal="centerContinuous"/>
    </xf>
    <xf numFmtId="164" fontId="15" fillId="0" borderId="7" xfId="1" applyNumberFormat="1" applyFont="1" applyFill="1" applyBorder="1" applyAlignment="1">
      <alignment horizontal="centerContinuous"/>
    </xf>
    <xf numFmtId="164" fontId="15" fillId="0" borderId="0" xfId="59" applyNumberFormat="1" applyFont="1" applyFill="1" applyBorder="1" applyAlignment="1">
      <alignment horizontal="centerContinuous"/>
    </xf>
    <xf numFmtId="43" fontId="15" fillId="0" borderId="11" xfId="59" applyFont="1" applyFill="1" applyBorder="1" applyAlignment="1">
      <alignment horizontal="centerContinuous"/>
    </xf>
    <xf numFmtId="43" fontId="15" fillId="0" borderId="3" xfId="59" applyFont="1" applyFill="1" applyBorder="1" applyAlignment="1">
      <alignment horizontal="centerContinuous"/>
    </xf>
    <xf numFmtId="164" fontId="15" fillId="0" borderId="3" xfId="59" applyNumberFormat="1" applyFont="1" applyFill="1" applyBorder="1" applyAlignment="1">
      <alignment horizontal="centerContinuous"/>
    </xf>
    <xf numFmtId="164" fontId="40" fillId="0" borderId="3" xfId="59" applyNumberFormat="1" applyFont="1" applyFill="1" applyBorder="1" applyAlignment="1">
      <alignment horizontal="centerContinuous"/>
    </xf>
    <xf numFmtId="164" fontId="15" fillId="0" borderId="15" xfId="1" applyNumberFormat="1" applyFont="1" applyFill="1" applyBorder="1" applyAlignment="1">
      <alignment horizontal="centerContinuous"/>
    </xf>
    <xf numFmtId="164" fontId="15" fillId="0" borderId="5" xfId="59" applyNumberFormat="1" applyFont="1" applyFill="1" applyBorder="1" applyAlignment="1">
      <alignment horizontal="centerContinuous"/>
    </xf>
    <xf numFmtId="164" fontId="15" fillId="0" borderId="16" xfId="76" quotePrefix="1" applyNumberFormat="1" applyFont="1" applyFill="1" applyBorder="1" applyAlignment="1"/>
    <xf numFmtId="164" fontId="15" fillId="0" borderId="18" xfId="76" quotePrefix="1" applyNumberFormat="1" applyFont="1" applyFill="1" applyBorder="1" applyAlignment="1"/>
    <xf numFmtId="164" fontId="15" fillId="0" borderId="16" xfId="1" applyNumberFormat="1" applyFont="1" applyFill="1" applyBorder="1" applyAlignment="1">
      <alignment horizontal="left"/>
    </xf>
    <xf numFmtId="164" fontId="15" fillId="0" borderId="18" xfId="1" applyNumberFormat="1" applyFont="1" applyFill="1" applyBorder="1" applyAlignment="1">
      <alignment horizontal="left"/>
    </xf>
    <xf numFmtId="164" fontId="0" fillId="0" borderId="18" xfId="1" applyNumberFormat="1" applyFont="1" applyBorder="1" applyAlignment="1"/>
    <xf numFmtId="43" fontId="0" fillId="0" borderId="0" xfId="1" applyFont="1" applyFill="1" applyBorder="1"/>
    <xf numFmtId="164" fontId="0" fillId="0" borderId="16" xfId="1" applyNumberFormat="1" applyFont="1" applyFill="1" applyBorder="1"/>
    <xf numFmtId="164" fontId="15" fillId="0" borderId="18" xfId="47" applyNumberFormat="1" applyFont="1" applyFill="1" applyBorder="1" applyAlignment="1"/>
    <xf numFmtId="164" fontId="15" fillId="0" borderId="19" xfId="47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Continuous"/>
    </xf>
    <xf numFmtId="43" fontId="15" fillId="0" borderId="5" xfId="1" applyFont="1" applyFill="1" applyBorder="1" applyAlignment="1">
      <alignment horizontal="centerContinuous"/>
    </xf>
    <xf numFmtId="43" fontId="15" fillId="0" borderId="4" xfId="1" applyFont="1" applyFill="1" applyBorder="1" applyAlignment="1">
      <alignment horizontal="centerContinuous"/>
    </xf>
    <xf numFmtId="0" fontId="15" fillId="0" borderId="12" xfId="0" applyFont="1" applyBorder="1" applyAlignment="1">
      <alignment horizontal="centerContinuous"/>
    </xf>
    <xf numFmtId="164" fontId="0" fillId="0" borderId="1" xfId="1" applyNumberFormat="1" applyFont="1" applyFill="1" applyBorder="1"/>
    <xf numFmtId="164" fontId="15" fillId="0" borderId="4" xfId="59" applyNumberFormat="1" applyFont="1" applyFill="1" applyBorder="1" applyAlignment="1">
      <alignment horizontal="centerContinuous"/>
    </xf>
    <xf numFmtId="170" fontId="15" fillId="0" borderId="15" xfId="1" applyNumberFormat="1" applyFont="1" applyFill="1" applyBorder="1"/>
    <xf numFmtId="170" fontId="0" fillId="0" borderId="0" xfId="1" applyNumberFormat="1" applyFont="1" applyFill="1" applyBorder="1"/>
    <xf numFmtId="164" fontId="0" fillId="0" borderId="13" xfId="1" applyNumberFormat="1" applyFont="1" applyBorder="1" applyAlignment="1">
      <alignment horizontal="centerContinuous"/>
    </xf>
    <xf numFmtId="164" fontId="0" fillId="0" borderId="14" xfId="1" applyNumberFormat="1" applyFont="1" applyBorder="1" applyAlignment="1">
      <alignment horizontal="centerContinuous"/>
    </xf>
    <xf numFmtId="164" fontId="0" fillId="0" borderId="0" xfId="1" applyNumberFormat="1" applyFont="1"/>
    <xf numFmtId="164" fontId="0" fillId="0" borderId="16" xfId="1" applyNumberFormat="1" applyFont="1" applyBorder="1"/>
    <xf numFmtId="164" fontId="15" fillId="0" borderId="11" xfId="1" applyNumberFormat="1" applyFont="1" applyBorder="1"/>
    <xf numFmtId="164" fontId="15" fillId="0" borderId="18" xfId="1" applyNumberFormat="1" applyFont="1" applyBorder="1" applyAlignment="1">
      <alignment horizontal="center"/>
    </xf>
    <xf numFmtId="164" fontId="15" fillId="0" borderId="5" xfId="1" applyNumberFormat="1" applyFont="1" applyBorder="1"/>
    <xf numFmtId="164" fontId="15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35" fillId="0" borderId="17" xfId="1" applyNumberFormat="1" applyFont="1" applyBorder="1"/>
    <xf numFmtId="164" fontId="0" fillId="0" borderId="17" xfId="1" applyNumberFormat="1" applyFont="1" applyBorder="1"/>
    <xf numFmtId="164" fontId="15" fillId="0" borderId="4" xfId="1" applyNumberFormat="1" applyFont="1" applyBorder="1"/>
    <xf numFmtId="164" fontId="0" fillId="0" borderId="11" xfId="1" applyNumberFormat="1" applyFont="1" applyBorder="1"/>
    <xf numFmtId="164" fontId="35" fillId="0" borderId="18" xfId="1" applyNumberFormat="1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164" fontId="35" fillId="0" borderId="16" xfId="1" applyNumberFormat="1" applyFont="1" applyBorder="1"/>
    <xf numFmtId="164" fontId="0" fillId="0" borderId="7" xfId="1" applyNumberFormat="1" applyFont="1" applyBorder="1"/>
    <xf numFmtId="164" fontId="0" fillId="0" borderId="1" xfId="1" applyNumberFormat="1" applyFont="1" applyBorder="1"/>
    <xf numFmtId="164" fontId="15" fillId="0" borderId="19" xfId="1" applyNumberFormat="1" applyFont="1" applyBorder="1"/>
    <xf numFmtId="164" fontId="0" fillId="0" borderId="0" xfId="1" applyNumberFormat="1" applyFont="1" applyBorder="1"/>
    <xf numFmtId="43" fontId="15" fillId="0" borderId="17" xfId="1" applyFont="1" applyBorder="1"/>
    <xf numFmtId="43" fontId="0" fillId="0" borderId="17" xfId="1" applyFont="1" applyBorder="1"/>
    <xf numFmtId="43" fontId="0" fillId="0" borderId="4" xfId="1" applyFont="1" applyBorder="1"/>
    <xf numFmtId="43" fontId="15" fillId="0" borderId="17" xfId="1" applyFont="1" applyFill="1" applyBorder="1" applyAlignment="1">
      <alignment horizontal="center"/>
    </xf>
    <xf numFmtId="43" fontId="15" fillId="0" borderId="18" xfId="1" applyFont="1" applyBorder="1"/>
    <xf numFmtId="43" fontId="15" fillId="0" borderId="18" xfId="1" applyFont="1" applyFill="1" applyBorder="1" applyAlignment="1">
      <alignment horizontal="center"/>
    </xf>
    <xf numFmtId="164" fontId="15" fillId="0" borderId="14" xfId="1" applyNumberFormat="1" applyFont="1" applyBorder="1" applyAlignment="1">
      <alignment horizontal="centerContinuous"/>
    </xf>
    <xf numFmtId="164" fontId="15" fillId="0" borderId="16" xfId="1" applyNumberFormat="1" applyFont="1" applyBorder="1"/>
    <xf numFmtId="164" fontId="15" fillId="0" borderId="18" xfId="1" applyNumberFormat="1" applyFont="1" applyBorder="1"/>
    <xf numFmtId="170" fontId="0" fillId="0" borderId="0" xfId="1" applyNumberFormat="1" applyFont="1" applyFill="1"/>
    <xf numFmtId="170" fontId="0" fillId="0" borderId="0" xfId="0" applyNumberFormat="1" applyFill="1"/>
    <xf numFmtId="164" fontId="0" fillId="0" borderId="15" xfId="1" applyNumberFormat="1" applyFont="1" applyBorder="1"/>
    <xf numFmtId="164" fontId="35" fillId="0" borderId="0" xfId="1" applyNumberFormat="1" applyFont="1" applyFill="1" applyBorder="1"/>
    <xf numFmtId="43" fontId="15" fillId="0" borderId="0" xfId="1" applyFont="1" applyFill="1" applyBorder="1" applyAlignment="1">
      <alignment horizontal="centerContinuous"/>
    </xf>
    <xf numFmtId="43" fontId="15" fillId="0" borderId="6" xfId="1" applyFont="1" applyFill="1" applyBorder="1" applyAlignment="1">
      <alignment horizontal="centerContinuous"/>
    </xf>
    <xf numFmtId="43" fontId="15" fillId="0" borderId="7" xfId="1" applyFont="1" applyFill="1" applyBorder="1" applyAlignment="1">
      <alignment horizontal="centerContinuous"/>
    </xf>
    <xf numFmtId="43" fontId="15" fillId="0" borderId="1" xfId="1" applyFont="1" applyFill="1" applyBorder="1" applyAlignment="1">
      <alignment horizontal="centerContinuous"/>
    </xf>
    <xf numFmtId="43" fontId="0" fillId="0" borderId="11" xfId="1" applyFont="1" applyFill="1" applyBorder="1" applyAlignment="1">
      <alignment horizontal="centerContinuous"/>
    </xf>
    <xf numFmtId="164" fontId="0" fillId="0" borderId="7" xfId="1" applyNumberFormat="1" applyFont="1" applyFill="1" applyBorder="1"/>
    <xf numFmtId="164" fontId="0" fillId="0" borderId="15" xfId="1" applyNumberFormat="1" applyFont="1" applyFill="1" applyBorder="1"/>
    <xf numFmtId="43" fontId="0" fillId="0" borderId="0" xfId="0" applyNumberFormat="1" applyFill="1" applyBorder="1"/>
    <xf numFmtId="170" fontId="15" fillId="0" borderId="16" xfId="1" applyNumberFormat="1" applyFont="1" applyFill="1" applyBorder="1" applyAlignment="1">
      <alignment horizontal="center"/>
    </xf>
    <xf numFmtId="170" fontId="15" fillId="0" borderId="17" xfId="1" applyNumberFormat="1" applyFont="1" applyFill="1" applyBorder="1" applyAlignment="1">
      <alignment horizontal="center"/>
    </xf>
    <xf numFmtId="170" fontId="15" fillId="0" borderId="18" xfId="1" applyNumberFormat="1" applyFont="1" applyFill="1" applyBorder="1" applyAlignment="1">
      <alignment horizontal="center"/>
    </xf>
    <xf numFmtId="170" fontId="15" fillId="0" borderId="0" xfId="1" applyNumberFormat="1" applyFont="1" applyFill="1" applyBorder="1" applyAlignment="1">
      <alignment horizontal="center"/>
    </xf>
    <xf numFmtId="164" fontId="15" fillId="0" borderId="17" xfId="1" applyNumberFormat="1" applyFont="1" applyBorder="1"/>
    <xf numFmtId="164" fontId="15" fillId="0" borderId="16" xfId="59" applyNumberFormat="1" applyFont="1" applyBorder="1" applyAlignment="1">
      <alignment horizontal="left"/>
    </xf>
    <xf numFmtId="164" fontId="15" fillId="0" borderId="17" xfId="59" applyNumberFormat="1" applyFont="1" applyBorder="1" applyAlignment="1">
      <alignment horizontal="left"/>
    </xf>
    <xf numFmtId="164" fontId="15" fillId="0" borderId="18" xfId="59" applyNumberFormat="1" applyFont="1" applyBorder="1" applyAlignment="1">
      <alignment horizontal="left"/>
    </xf>
    <xf numFmtId="43" fontId="15" fillId="0" borderId="16" xfId="1" applyFont="1" applyBorder="1"/>
    <xf numFmtId="164" fontId="15" fillId="0" borderId="0" xfId="1" applyNumberFormat="1" applyFont="1" applyFill="1" applyBorder="1" applyAlignment="1">
      <alignment horizontal="centerContinuous"/>
    </xf>
    <xf numFmtId="43" fontId="15" fillId="0" borderId="0" xfId="1" applyFont="1" applyFill="1" applyBorder="1" applyAlignment="1">
      <alignment horizontal="left"/>
    </xf>
    <xf numFmtId="164" fontId="0" fillId="0" borderId="0" xfId="76" applyNumberFormat="1" applyFont="1" applyFill="1" applyBorder="1" applyAlignment="1">
      <alignment horizontal="left"/>
    </xf>
    <xf numFmtId="170" fontId="15" fillId="0" borderId="0" xfId="1" applyNumberFormat="1" applyFont="1" applyFill="1" applyBorder="1" applyAlignment="1">
      <alignment horizontal="left"/>
    </xf>
    <xf numFmtId="164" fontId="15" fillId="0" borderId="19" xfId="1" applyNumberFormat="1" applyFont="1" applyFill="1" applyBorder="1"/>
    <xf numFmtId="164" fontId="15" fillId="0" borderId="18" xfId="1" applyNumberFormat="1" applyFont="1" applyFill="1" applyBorder="1"/>
    <xf numFmtId="164" fontId="15" fillId="0" borderId="11" xfId="1" applyNumberFormat="1" applyFont="1" applyFill="1" applyBorder="1"/>
    <xf numFmtId="43" fontId="15" fillId="0" borderId="19" xfId="1" applyFont="1" applyFill="1" applyBorder="1" applyAlignment="1">
      <alignment horizontal="center"/>
    </xf>
    <xf numFmtId="164" fontId="0" fillId="0" borderId="19" xfId="1" applyNumberFormat="1" applyFont="1" applyFill="1" applyBorder="1"/>
    <xf numFmtId="164" fontId="0" fillId="0" borderId="13" xfId="1" applyNumberFormat="1" applyFont="1" applyFill="1" applyBorder="1" applyAlignment="1">
      <alignment horizontal="centerContinuous"/>
    </xf>
    <xf numFmtId="164" fontId="0" fillId="0" borderId="7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centerContinuous"/>
    </xf>
    <xf numFmtId="170" fontId="35" fillId="0" borderId="0" xfId="1" applyNumberFormat="1" applyFont="1" applyFill="1"/>
    <xf numFmtId="43" fontId="15" fillId="0" borderId="18" xfId="1" applyFont="1" applyBorder="1" applyAlignment="1">
      <alignment horizontal="center"/>
    </xf>
    <xf numFmtId="164" fontId="15" fillId="0" borderId="12" xfId="1" applyNumberFormat="1" applyFont="1" applyFill="1" applyBorder="1" applyAlignment="1">
      <alignment horizontal="centerContinuous"/>
    </xf>
    <xf numFmtId="164" fontId="0" fillId="0" borderId="0" xfId="1" applyNumberFormat="1" applyFont="1" applyFill="1" applyBorder="1" applyAlignment="1">
      <alignment horizontal="left"/>
    </xf>
    <xf numFmtId="43" fontId="0" fillId="0" borderId="0" xfId="1" applyFont="1" applyFill="1" applyAlignment="1">
      <alignment horizontal="left"/>
    </xf>
    <xf numFmtId="170" fontId="35" fillId="0" borderId="0" xfId="1" applyNumberFormat="1" applyFont="1" applyFill="1" applyAlignment="1">
      <alignment horizontal="left"/>
    </xf>
    <xf numFmtId="164" fontId="15" fillId="0" borderId="16" xfId="1" applyNumberFormat="1" applyFont="1" applyFill="1" applyBorder="1"/>
    <xf numFmtId="170" fontId="0" fillId="0" borderId="17" xfId="1" applyNumberFormat="1" applyFont="1" applyFill="1" applyBorder="1"/>
    <xf numFmtId="164" fontId="15" fillId="0" borderId="0" xfId="1" applyNumberFormat="1" applyFont="1" applyFill="1" applyAlignment="1">
      <alignment horizontal="right"/>
    </xf>
    <xf numFmtId="164" fontId="0" fillId="0" borderId="6" xfId="1" applyNumberFormat="1" applyFont="1" applyFill="1" applyBorder="1"/>
    <xf numFmtId="164" fontId="0" fillId="0" borderId="3" xfId="1" applyNumberFormat="1" applyFont="1" applyFill="1" applyBorder="1"/>
    <xf numFmtId="170" fontId="35" fillId="0" borderId="0" xfId="1" applyNumberFormat="1" applyFont="1" applyFill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175" fontId="35" fillId="0" borderId="17" xfId="78" applyNumberFormat="1" applyFont="1" applyBorder="1" applyAlignment="1">
      <alignment horizontal="center"/>
    </xf>
    <xf numFmtId="175" fontId="0" fillId="0" borderId="18" xfId="78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Continuous"/>
    </xf>
    <xf numFmtId="164" fontId="0" fillId="0" borderId="0" xfId="1" applyNumberFormat="1" applyFont="1" applyBorder="1" applyAlignment="1">
      <alignment horizontal="left"/>
    </xf>
    <xf numFmtId="164" fontId="0" fillId="0" borderId="0" xfId="0" applyNumberFormat="1" applyFill="1" applyBorder="1"/>
    <xf numFmtId="164" fontId="0" fillId="0" borderId="0" xfId="1" applyNumberFormat="1" applyFont="1" applyAlignment="1">
      <alignment horizontal="left"/>
    </xf>
    <xf numFmtId="164" fontId="15" fillId="0" borderId="17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Continuous"/>
    </xf>
    <xf numFmtId="164" fontId="0" fillId="0" borderId="6" xfId="1" applyNumberFormat="1" applyFont="1" applyBorder="1" applyAlignment="1">
      <alignment horizontal="centerContinuous"/>
    </xf>
    <xf numFmtId="164" fontId="0" fillId="0" borderId="15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"/>
    </xf>
    <xf numFmtId="164" fontId="15" fillId="0" borderId="15" xfId="1" applyNumberFormat="1" applyFont="1" applyBorder="1" applyAlignment="1">
      <alignment horizontal="center"/>
    </xf>
    <xf numFmtId="164" fontId="15" fillId="0" borderId="4" xfId="1" applyNumberFormat="1" applyFont="1" applyBorder="1" applyAlignment="1">
      <alignment horizontal="center"/>
    </xf>
    <xf numFmtId="164" fontId="15" fillId="0" borderId="5" xfId="1" applyNumberFormat="1" applyFont="1" applyBorder="1" applyAlignment="1">
      <alignment horizontal="centerContinuous"/>
    </xf>
    <xf numFmtId="164" fontId="15" fillId="0" borderId="3" xfId="1" applyNumberFormat="1" applyFont="1" applyBorder="1" applyAlignment="1">
      <alignment horizontal="centerContinuous"/>
    </xf>
    <xf numFmtId="164" fontId="15" fillId="0" borderId="16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9" fontId="15" fillId="0" borderId="0" xfId="78" applyFont="1" applyFill="1" applyBorder="1" applyAlignment="1">
      <alignment horizontal="center"/>
    </xf>
    <xf numFmtId="9" fontId="35" fillId="0" borderId="0" xfId="0" applyNumberFormat="1" applyFont="1" applyFill="1" applyBorder="1" applyAlignment="1">
      <alignment horizontal="center"/>
    </xf>
    <xf numFmtId="164" fontId="15" fillId="0" borderId="17" xfId="1" applyNumberFormat="1" applyFont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47" fillId="0" borderId="0" xfId="1" applyNumberFormat="1" applyFont="1" applyBorder="1" applyAlignment="1">
      <alignment horizontal="centerContinuous"/>
    </xf>
    <xf numFmtId="0" fontId="0" fillId="0" borderId="6" xfId="0" applyFill="1" applyBorder="1" applyAlignment="1">
      <alignment horizontal="centerContinuous"/>
    </xf>
    <xf numFmtId="0" fontId="0" fillId="0" borderId="7" xfId="0" applyFill="1" applyBorder="1" applyAlignment="1">
      <alignment horizontal="centerContinuous"/>
    </xf>
    <xf numFmtId="0" fontId="0" fillId="0" borderId="1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164" fontId="15" fillId="0" borderId="5" xfId="1" applyNumberFormat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Continuous"/>
    </xf>
    <xf numFmtId="164" fontId="15" fillId="0" borderId="13" xfId="1" applyNumberFormat="1" applyFont="1" applyFill="1" applyBorder="1" applyAlignment="1">
      <alignment horizontal="centerContinuous"/>
    </xf>
    <xf numFmtId="164" fontId="15" fillId="0" borderId="4" xfId="1" applyNumberFormat="1" applyFont="1" applyFill="1" applyBorder="1" applyAlignment="1">
      <alignment horizontal="centerContinuous"/>
    </xf>
    <xf numFmtId="164" fontId="15" fillId="0" borderId="11" xfId="1" applyNumberFormat="1" applyFont="1" applyFill="1" applyBorder="1" applyAlignment="1">
      <alignment horizontal="centerContinuous"/>
    </xf>
    <xf numFmtId="164" fontId="0" fillId="0" borderId="3" xfId="1" applyNumberFormat="1" applyFont="1" applyFill="1" applyBorder="1" applyAlignment="1">
      <alignment horizontal="centerContinuous"/>
    </xf>
    <xf numFmtId="43" fontId="15" fillId="0" borderId="17" xfId="1" applyFont="1" applyFill="1" applyBorder="1"/>
    <xf numFmtId="170" fontId="35" fillId="0" borderId="0" xfId="1" applyNumberFormat="1" applyFont="1" applyFill="1" applyBorder="1" applyAlignment="1">
      <alignment horizontal="left"/>
    </xf>
    <xf numFmtId="164" fontId="0" fillId="0" borderId="16" xfId="1" applyNumberFormat="1" applyFont="1" applyFill="1" applyBorder="1" applyAlignment="1">
      <alignment horizontal="center"/>
    </xf>
    <xf numFmtId="164" fontId="0" fillId="0" borderId="4" xfId="1" applyNumberFormat="1" applyFont="1" applyFill="1" applyBorder="1"/>
    <xf numFmtId="164" fontId="0" fillId="0" borderId="11" xfId="1" applyNumberFormat="1" applyFont="1" applyFill="1" applyBorder="1"/>
    <xf numFmtId="43" fontId="15" fillId="0" borderId="17" xfId="1" applyFont="1" applyBorder="1" applyAlignment="1">
      <alignment horizontal="left"/>
    </xf>
    <xf numFmtId="43" fontId="15" fillId="0" borderId="16" xfId="1" applyFont="1" applyBorder="1" applyAlignment="1">
      <alignment horizontal="left"/>
    </xf>
    <xf numFmtId="43" fontId="15" fillId="0" borderId="18" xfId="1" applyFont="1" applyBorder="1" applyAlignment="1">
      <alignment horizontal="left"/>
    </xf>
    <xf numFmtId="170" fontId="35" fillId="0" borderId="0" xfId="0" applyNumberFormat="1" applyFont="1" applyFill="1"/>
    <xf numFmtId="164" fontId="0" fillId="0" borderId="15" xfId="1" applyNumberFormat="1" applyFont="1" applyFill="1" applyBorder="1" applyAlignment="1">
      <alignment horizontal="centerContinuous"/>
    </xf>
    <xf numFmtId="164" fontId="35" fillId="0" borderId="19" xfId="1" applyNumberFormat="1" applyFont="1" applyFill="1" applyBorder="1"/>
    <xf numFmtId="164" fontId="0" fillId="0" borderId="1" xfId="1" applyNumberFormat="1" applyFont="1" applyFill="1" applyBorder="1" applyAlignment="1">
      <alignment horizontal="centerContinuous"/>
    </xf>
    <xf numFmtId="164" fontId="15" fillId="0" borderId="5" xfId="1" applyNumberFormat="1" applyFont="1" applyFill="1" applyBorder="1"/>
    <xf numFmtId="164" fontId="15" fillId="0" borderId="4" xfId="1" applyNumberFormat="1" applyFont="1" applyFill="1" applyBorder="1"/>
    <xf numFmtId="0" fontId="0" fillId="0" borderId="3" xfId="0" applyFill="1" applyBorder="1"/>
    <xf numFmtId="1" fontId="0" fillId="0" borderId="16" xfId="1" applyNumberFormat="1" applyFont="1" applyFill="1" applyBorder="1" applyAlignment="1">
      <alignment horizontal="center"/>
    </xf>
    <xf numFmtId="1" fontId="0" fillId="0" borderId="17" xfId="1" applyNumberFormat="1" applyFont="1" applyFill="1" applyBorder="1" applyAlignment="1">
      <alignment horizontal="center"/>
    </xf>
    <xf numFmtId="1" fontId="0" fillId="0" borderId="18" xfId="1" applyNumberFormat="1" applyFont="1" applyFill="1" applyBorder="1" applyAlignment="1">
      <alignment horizontal="center"/>
    </xf>
    <xf numFmtId="176" fontId="0" fillId="0" borderId="0" xfId="0" applyNumberFormat="1" applyFill="1" applyBorder="1"/>
    <xf numFmtId="164" fontId="15" fillId="0" borderId="6" xfId="1" applyNumberFormat="1" applyFont="1" applyFill="1" applyBorder="1" applyAlignment="1">
      <alignment horizontal="centerContinuous"/>
    </xf>
    <xf numFmtId="43" fontId="0" fillId="0" borderId="6" xfId="1" applyFont="1" applyFill="1" applyBorder="1" applyAlignment="1">
      <alignment horizontal="centerContinuous"/>
    </xf>
    <xf numFmtId="43" fontId="0" fillId="0" borderId="0" xfId="1" applyFont="1" applyFill="1" applyBorder="1" applyAlignment="1">
      <alignment horizontal="centerContinuous"/>
    </xf>
    <xf numFmtId="43" fontId="0" fillId="0" borderId="3" xfId="1" applyFont="1" applyFill="1" applyBorder="1" applyAlignment="1">
      <alignment horizontal="centerContinuous"/>
    </xf>
    <xf numFmtId="43" fontId="15" fillId="0" borderId="12" xfId="1" applyFont="1" applyFill="1" applyBorder="1" applyAlignment="1">
      <alignment horizontal="centerContinuous"/>
    </xf>
    <xf numFmtId="43" fontId="15" fillId="0" borderId="16" xfId="1" applyFont="1" applyFill="1" applyBorder="1" applyAlignment="1">
      <alignment horizontal="center"/>
    </xf>
    <xf numFmtId="164" fontId="0" fillId="0" borderId="5" xfId="1" applyNumberFormat="1" applyFont="1" applyFill="1" applyBorder="1"/>
    <xf numFmtId="170" fontId="0" fillId="0" borderId="0" xfId="0" applyNumberFormat="1" applyFill="1" applyBorder="1"/>
    <xf numFmtId="164" fontId="40" fillId="0" borderId="17" xfId="76" applyNumberFormat="1" applyFont="1" applyFill="1" applyBorder="1" applyAlignment="1">
      <alignment horizontal="left"/>
    </xf>
    <xf numFmtId="164" fontId="40" fillId="0" borderId="18" xfId="76" applyNumberFormat="1" applyFont="1" applyFill="1" applyBorder="1" applyAlignment="1">
      <alignment horizontal="left"/>
    </xf>
    <xf numFmtId="170" fontId="15" fillId="0" borderId="17" xfId="1" applyNumberFormat="1" applyFont="1" applyFill="1" applyBorder="1"/>
    <xf numFmtId="170" fontId="0" fillId="0" borderId="17" xfId="0" applyNumberFormat="1" applyFill="1" applyBorder="1"/>
    <xf numFmtId="164" fontId="40" fillId="0" borderId="18" xfId="1" applyNumberFormat="1" applyFont="1" applyFill="1" applyBorder="1" applyAlignment="1">
      <alignment horizontal="left"/>
    </xf>
    <xf numFmtId="170" fontId="15" fillId="0" borderId="16" xfId="1" applyNumberFormat="1" applyFont="1" applyFill="1" applyBorder="1"/>
    <xf numFmtId="170" fontId="15" fillId="0" borderId="18" xfId="1" applyNumberFormat="1" applyFont="1" applyFill="1" applyBorder="1"/>
    <xf numFmtId="43" fontId="15" fillId="0" borderId="19" xfId="1" applyFont="1" applyBorder="1"/>
    <xf numFmtId="170" fontId="0" fillId="0" borderId="16" xfId="0" applyNumberFormat="1" applyFill="1" applyBorder="1"/>
    <xf numFmtId="164" fontId="15" fillId="0" borderId="19" xfId="1" applyNumberFormat="1" applyFont="1" applyFill="1" applyBorder="1" applyAlignment="1">
      <alignment horizontal="left"/>
    </xf>
    <xf numFmtId="164" fontId="15" fillId="0" borderId="18" xfId="1" applyNumberFormat="1" applyFont="1" applyBorder="1" applyAlignment="1"/>
    <xf numFmtId="164" fontId="0" fillId="0" borderId="17" xfId="1" applyNumberFormat="1" applyFont="1" applyFill="1" applyBorder="1" applyAlignment="1">
      <alignment horizontal="left"/>
    </xf>
    <xf numFmtId="164" fontId="15" fillId="0" borderId="17" xfId="1" applyNumberFormat="1" applyFont="1" applyBorder="1" applyAlignment="1">
      <alignment horizontal="left"/>
    </xf>
    <xf numFmtId="164" fontId="15" fillId="0" borderId="18" xfId="1" applyNumberFormat="1" applyFont="1" applyBorder="1" applyAlignment="1">
      <alignment horizontal="left"/>
    </xf>
    <xf numFmtId="164" fontId="15" fillId="0" borderId="12" xfId="1" applyNumberFormat="1" applyFont="1" applyFill="1" applyBorder="1"/>
    <xf numFmtId="0" fontId="0" fillId="0" borderId="13" xfId="0" applyFill="1" applyBorder="1"/>
    <xf numFmtId="164" fontId="0" fillId="0" borderId="13" xfId="1" applyNumberFormat="1" applyFont="1" applyFill="1" applyBorder="1"/>
    <xf numFmtId="164" fontId="0" fillId="0" borderId="14" xfId="1" applyNumberFormat="1" applyFont="1" applyFill="1" applyBorder="1"/>
    <xf numFmtId="164" fontId="15" fillId="0" borderId="7" xfId="1" applyNumberFormat="1" applyFont="1" applyBorder="1" applyAlignment="1">
      <alignment horizontal="centerContinuous"/>
    </xf>
    <xf numFmtId="0" fontId="0" fillId="0" borderId="17" xfId="0" applyFill="1" applyBorder="1"/>
    <xf numFmtId="0" fontId="0" fillId="0" borderId="16" xfId="0" applyFill="1" applyBorder="1"/>
    <xf numFmtId="0" fontId="0" fillId="0" borderId="14" xfId="0" applyFill="1" applyBorder="1"/>
    <xf numFmtId="43" fontId="15" fillId="0" borderId="0" xfId="1" applyFont="1" applyFill="1" applyBorder="1" applyAlignment="1">
      <alignment horizontal="center"/>
    </xf>
    <xf numFmtId="170" fontId="35" fillId="0" borderId="0" xfId="1" applyNumberFormat="1" applyFont="1" applyFill="1" applyBorder="1"/>
    <xf numFmtId="0" fontId="0" fillId="0" borderId="14" xfId="0" applyFill="1" applyBorder="1" applyAlignment="1">
      <alignment horizontal="centerContinuous"/>
    </xf>
    <xf numFmtId="164" fontId="0" fillId="0" borderId="5" xfId="76" applyNumberFormat="1" applyFont="1" applyFill="1" applyBorder="1" applyAlignment="1">
      <alignment horizontal="centerContinuous"/>
    </xf>
    <xf numFmtId="164" fontId="35" fillId="0" borderId="14" xfId="1" applyNumberFormat="1" applyFont="1" applyFill="1" applyBorder="1" applyAlignment="1">
      <alignment horizontal="centerContinuous"/>
    </xf>
    <xf numFmtId="43" fontId="15" fillId="0" borderId="19" xfId="1" applyFont="1" applyFill="1" applyBorder="1"/>
    <xf numFmtId="43" fontId="0" fillId="0" borderId="17" xfId="1" applyFont="1" applyFill="1" applyBorder="1" applyAlignment="1">
      <alignment horizontal="left"/>
    </xf>
    <xf numFmtId="164" fontId="15" fillId="0" borderId="13" xfId="1" applyNumberFormat="1" applyFont="1" applyFill="1" applyBorder="1"/>
    <xf numFmtId="43" fontId="15" fillId="0" borderId="17" xfId="1" applyFont="1" applyFill="1" applyBorder="1" applyAlignment="1">
      <alignment horizontal="left"/>
    </xf>
    <xf numFmtId="43" fontId="15" fillId="0" borderId="18" xfId="1" applyFont="1" applyFill="1" applyBorder="1" applyAlignment="1">
      <alignment horizontal="left"/>
    </xf>
    <xf numFmtId="43" fontId="15" fillId="0" borderId="16" xfId="1" applyFont="1" applyFill="1" applyBorder="1" applyAlignment="1">
      <alignment horizontal="left"/>
    </xf>
    <xf numFmtId="43" fontId="15" fillId="0" borderId="18" xfId="1" applyFont="1" applyFill="1" applyBorder="1"/>
    <xf numFmtId="43" fontId="0" fillId="0" borderId="16" xfId="1" applyFont="1" applyBorder="1" applyAlignment="1">
      <alignment horizontal="left"/>
    </xf>
    <xf numFmtId="170" fontId="15" fillId="0" borderId="0" xfId="0" applyNumberFormat="1" applyFont="1" applyFill="1"/>
    <xf numFmtId="164" fontId="35" fillId="0" borderId="15" xfId="1" applyNumberFormat="1" applyFont="1" applyFill="1" applyBorder="1" applyAlignment="1">
      <alignment horizontal="centerContinuous"/>
    </xf>
    <xf numFmtId="170" fontId="15" fillId="0" borderId="0" xfId="0" applyNumberFormat="1" applyFont="1" applyFill="1" applyBorder="1"/>
    <xf numFmtId="170" fontId="15" fillId="0" borderId="0" xfId="1" applyNumberFormat="1" applyFont="1" applyFill="1" applyBorder="1"/>
    <xf numFmtId="9" fontId="0" fillId="0" borderId="0" xfId="78" applyFont="1" applyFill="1" applyBorder="1"/>
    <xf numFmtId="176" fontId="0" fillId="0" borderId="0" xfId="0" applyNumberFormat="1" applyFill="1"/>
    <xf numFmtId="177" fontId="0" fillId="0" borderId="0" xfId="1" applyNumberFormat="1" applyFont="1" applyFill="1" applyBorder="1"/>
    <xf numFmtId="43" fontId="0" fillId="0" borderId="0" xfId="1" applyFont="1" applyBorder="1"/>
    <xf numFmtId="43" fontId="15" fillId="0" borderId="5" xfId="1" applyFont="1" applyBorder="1" applyAlignment="1">
      <alignment horizontal="centerContinuous"/>
    </xf>
    <xf numFmtId="43" fontId="0" fillId="0" borderId="6" xfId="1" applyFont="1" applyBorder="1" applyAlignment="1">
      <alignment horizontal="centerContinuous"/>
    </xf>
    <xf numFmtId="43" fontId="0" fillId="0" borderId="7" xfId="1" applyFont="1" applyBorder="1" applyAlignment="1">
      <alignment horizontal="centerContinuous"/>
    </xf>
    <xf numFmtId="43" fontId="0" fillId="0" borderId="0" xfId="1" applyFont="1" applyAlignment="1">
      <alignment horizontal="left"/>
    </xf>
    <xf numFmtId="43" fontId="0" fillId="0" borderId="0" xfId="1" applyFont="1" applyBorder="1" applyAlignment="1">
      <alignment horizontal="centerContinuous"/>
    </xf>
    <xf numFmtId="43" fontId="0" fillId="0" borderId="14" xfId="1" applyFont="1" applyBorder="1" applyAlignment="1">
      <alignment horizontal="centerContinuous"/>
    </xf>
    <xf numFmtId="43" fontId="0" fillId="0" borderId="13" xfId="1" applyFont="1" applyBorder="1" applyAlignment="1">
      <alignment horizontal="centerContinuous"/>
    </xf>
    <xf numFmtId="43" fontId="15" fillId="0" borderId="17" xfId="1" applyFont="1" applyBorder="1" applyAlignment="1">
      <alignment horizontal="centerContinuous"/>
    </xf>
    <xf numFmtId="43" fontId="0" fillId="0" borderId="4" xfId="1" applyFont="1" applyBorder="1" applyAlignment="1">
      <alignment horizontal="left"/>
    </xf>
    <xf numFmtId="43" fontId="15" fillId="0" borderId="17" xfId="1" applyFont="1" applyBorder="1" applyAlignment="1">
      <alignment horizontal="center"/>
    </xf>
    <xf numFmtId="43" fontId="15" fillId="0" borderId="11" xfId="1" applyFont="1" applyBorder="1" applyAlignment="1">
      <alignment horizontal="centerContinuous"/>
    </xf>
    <xf numFmtId="43" fontId="0" fillId="0" borderId="3" xfId="1" applyFont="1" applyBorder="1" applyAlignment="1">
      <alignment horizontal="centerContinuous"/>
    </xf>
    <xf numFmtId="43" fontId="0" fillId="0" borderId="15" xfId="1" applyFont="1" applyBorder="1" applyAlignment="1">
      <alignment horizontal="centerContinuous"/>
    </xf>
    <xf numFmtId="43" fontId="15" fillId="0" borderId="0" xfId="1" applyFont="1" applyBorder="1"/>
    <xf numFmtId="43" fontId="15" fillId="0" borderId="11" xfId="1" applyFont="1" applyBorder="1"/>
    <xf numFmtId="43" fontId="15" fillId="0" borderId="4" xfId="1" applyFont="1" applyBorder="1"/>
    <xf numFmtId="0" fontId="15" fillId="0" borderId="4" xfId="59" applyNumberFormat="1" applyFont="1" applyBorder="1" applyAlignment="1">
      <alignment horizontal="center"/>
    </xf>
    <xf numFmtId="173" fontId="0" fillId="0" borderId="17" xfId="1" applyNumberFormat="1" applyFont="1" applyBorder="1"/>
    <xf numFmtId="172" fontId="0" fillId="0" borderId="0" xfId="1" applyNumberFormat="1" applyFont="1"/>
    <xf numFmtId="43" fontId="15" fillId="0" borderId="12" xfId="1" applyFont="1" applyBorder="1"/>
    <xf numFmtId="173" fontId="0" fillId="0" borderId="19" xfId="1" applyNumberFormat="1" applyFont="1" applyBorder="1"/>
    <xf numFmtId="43" fontId="15" fillId="0" borderId="16" xfId="1" applyFont="1" applyBorder="1" applyAlignment="1">
      <alignment horizontal="center"/>
    </xf>
    <xf numFmtId="0" fontId="15" fillId="0" borderId="16" xfId="59" applyNumberFormat="1" applyFont="1" applyBorder="1" applyAlignment="1">
      <alignment horizontal="center"/>
    </xf>
    <xf numFmtId="173" fontId="15" fillId="0" borderId="16" xfId="1" applyNumberFormat="1" applyFont="1" applyBorder="1" applyAlignment="1">
      <alignment horizontal="center"/>
    </xf>
    <xf numFmtId="173" fontId="0" fillId="0" borderId="16" xfId="1" applyNumberFormat="1" applyFont="1" applyBorder="1"/>
    <xf numFmtId="43" fontId="15" fillId="0" borderId="5" xfId="1" applyFont="1" applyBorder="1"/>
    <xf numFmtId="43" fontId="15" fillId="0" borderId="3" xfId="1" applyFont="1" applyBorder="1"/>
    <xf numFmtId="43" fontId="15" fillId="0" borderId="14" xfId="1" applyFont="1" applyBorder="1"/>
    <xf numFmtId="43" fontId="15" fillId="0" borderId="7" xfId="1" applyFont="1" applyBorder="1" applyAlignment="1">
      <alignment horizontal="center"/>
    </xf>
    <xf numFmtId="164" fontId="0" fillId="0" borderId="14" xfId="1" applyNumberFormat="1" applyFont="1" applyBorder="1"/>
    <xf numFmtId="43" fontId="0" fillId="0" borderId="17" xfId="1" applyFont="1" applyBorder="1" applyAlignment="1">
      <alignment horizontal="centerContinuous"/>
    </xf>
    <xf numFmtId="43" fontId="0" fillId="0" borderId="17" xfId="1" applyFont="1" applyBorder="1" applyAlignment="1">
      <alignment horizontal="left"/>
    </xf>
    <xf numFmtId="173" fontId="0" fillId="0" borderId="14" xfId="1" applyNumberFormat="1" applyFont="1" applyBorder="1"/>
    <xf numFmtId="43" fontId="0" fillId="0" borderId="1" xfId="1" applyFont="1" applyBorder="1"/>
    <xf numFmtId="43" fontId="0" fillId="0" borderId="1" xfId="1" applyFont="1" applyBorder="1" applyAlignment="1">
      <alignment horizontal="left"/>
    </xf>
    <xf numFmtId="43" fontId="15" fillId="0" borderId="15" xfId="1" applyFont="1" applyBorder="1"/>
    <xf numFmtId="43" fontId="15" fillId="0" borderId="1" xfId="1" applyFont="1" applyBorder="1" applyAlignment="1">
      <alignment horizontal="left"/>
    </xf>
    <xf numFmtId="0" fontId="15" fillId="0" borderId="6" xfId="1" applyNumberFormat="1" applyFont="1" applyBorder="1" applyAlignment="1">
      <alignment horizontal="centerContinuous"/>
    </xf>
    <xf numFmtId="43" fontId="15" fillId="0" borderId="6" xfId="1" applyFont="1" applyBorder="1" applyAlignment="1">
      <alignment horizontal="centerContinuous"/>
    </xf>
    <xf numFmtId="173" fontId="0" fillId="0" borderId="6" xfId="1" applyNumberFormat="1" applyFont="1" applyBorder="1" applyAlignment="1">
      <alignment horizontal="centerContinuous"/>
    </xf>
    <xf numFmtId="164" fontId="15" fillId="0" borderId="11" xfId="1" applyNumberFormat="1" applyFont="1" applyBorder="1" applyAlignment="1">
      <alignment horizontal="centerContinuous"/>
    </xf>
    <xf numFmtId="164" fontId="15" fillId="0" borderId="4" xfId="1" applyNumberFormat="1" applyFont="1" applyBorder="1" applyAlignment="1">
      <alignment horizontal="centerContinuous"/>
    </xf>
    <xf numFmtId="164" fontId="15" fillId="0" borderId="5" xfId="59" applyNumberFormat="1" applyFont="1" applyFill="1" applyBorder="1" applyAlignment="1">
      <alignment horizontal="left"/>
    </xf>
    <xf numFmtId="164" fontId="15" fillId="0" borderId="4" xfId="59" applyNumberFormat="1" applyFont="1" applyFill="1" applyBorder="1" applyAlignment="1">
      <alignment horizontal="left"/>
    </xf>
    <xf numFmtId="164" fontId="15" fillId="0" borderId="11" xfId="59" applyNumberFormat="1" applyFont="1" applyFill="1" applyBorder="1" applyAlignment="1">
      <alignment horizontal="left"/>
    </xf>
    <xf numFmtId="164" fontId="0" fillId="0" borderId="7" xfId="1" applyNumberFormat="1" applyFont="1" applyFill="1" applyBorder="1" applyAlignment="1"/>
    <xf numFmtId="164" fontId="0" fillId="0" borderId="1" xfId="1" applyNumberFormat="1" applyFont="1" applyFill="1" applyBorder="1" applyAlignment="1"/>
    <xf numFmtId="164" fontId="0" fillId="0" borderId="1" xfId="76" applyNumberFormat="1" applyFont="1" applyFill="1" applyBorder="1" applyAlignment="1"/>
    <xf numFmtId="164" fontId="0" fillId="0" borderId="15" xfId="1" applyNumberFormat="1" applyFont="1" applyFill="1" applyBorder="1" applyAlignment="1"/>
    <xf numFmtId="43" fontId="15" fillId="0" borderId="11" xfId="1" applyFont="1" applyFill="1" applyBorder="1" applyAlignment="1">
      <alignment horizontal="centerContinuous"/>
    </xf>
    <xf numFmtId="43" fontId="0" fillId="0" borderId="15" xfId="1" applyFont="1" applyFill="1" applyBorder="1" applyAlignment="1">
      <alignment horizontal="centerContinuous"/>
    </xf>
    <xf numFmtId="43" fontId="0" fillId="0" borderId="17" xfId="1" applyFont="1" applyFill="1" applyBorder="1" applyAlignment="1">
      <alignment horizontal="centerContinuous"/>
    </xf>
    <xf numFmtId="173" fontId="0" fillId="0" borderId="17" xfId="1" applyNumberFormat="1" applyFont="1" applyFill="1" applyBorder="1"/>
    <xf numFmtId="173" fontId="0" fillId="0" borderId="18" xfId="1" applyNumberFormat="1" applyFont="1" applyFill="1" applyBorder="1"/>
    <xf numFmtId="173" fontId="0" fillId="0" borderId="19" xfId="1" applyNumberFormat="1" applyFont="1" applyFill="1" applyBorder="1"/>
    <xf numFmtId="173" fontId="0" fillId="0" borderId="6" xfId="1" applyNumberFormat="1" applyFont="1" applyFill="1" applyBorder="1" applyAlignment="1">
      <alignment horizontal="centerContinuous"/>
    </xf>
    <xf numFmtId="43" fontId="0" fillId="0" borderId="13" xfId="1" applyFont="1" applyFill="1" applyBorder="1" applyAlignment="1">
      <alignment horizontal="centerContinuous"/>
    </xf>
    <xf numFmtId="173" fontId="0" fillId="0" borderId="16" xfId="1" applyNumberFormat="1" applyFont="1" applyFill="1" applyBorder="1"/>
    <xf numFmtId="43" fontId="35" fillId="0" borderId="0" xfId="1" applyFont="1" applyFill="1"/>
    <xf numFmtId="164" fontId="35" fillId="0" borderId="15" xfId="1" applyNumberFormat="1" applyFont="1" applyBorder="1" applyAlignment="1">
      <alignment horizontal="center"/>
    </xf>
    <xf numFmtId="164" fontId="35" fillId="0" borderId="18" xfId="1" applyNumberFormat="1" applyFont="1" applyBorder="1" applyAlignment="1">
      <alignment horizontal="center"/>
    </xf>
    <xf numFmtId="164" fontId="35" fillId="0" borderId="11" xfId="1" applyNumberFormat="1" applyFont="1" applyBorder="1" applyAlignment="1">
      <alignment horizontal="center"/>
    </xf>
    <xf numFmtId="173" fontId="0" fillId="0" borderId="14" xfId="1" applyNumberFormat="1" applyFont="1" applyFill="1" applyBorder="1"/>
    <xf numFmtId="173" fontId="0" fillId="0" borderId="6" xfId="1" applyNumberFormat="1" applyFont="1" applyFill="1" applyBorder="1"/>
    <xf numFmtId="173" fontId="0" fillId="0" borderId="0" xfId="1" applyNumberFormat="1" applyFont="1" applyFill="1" applyBorder="1"/>
    <xf numFmtId="173" fontId="0" fillId="0" borderId="3" xfId="1" applyNumberFormat="1" applyFont="1" applyFill="1" applyBorder="1"/>
    <xf numFmtId="173" fontId="0" fillId="0" borderId="7" xfId="1" applyNumberFormat="1" applyFont="1" applyFill="1" applyBorder="1"/>
    <xf numFmtId="173" fontId="0" fillId="0" borderId="1" xfId="1" applyNumberFormat="1" applyFont="1" applyFill="1" applyBorder="1"/>
    <xf numFmtId="173" fontId="0" fillId="0" borderId="15" xfId="1" applyNumberFormat="1" applyFont="1" applyFill="1" applyBorder="1"/>
    <xf numFmtId="173" fontId="0" fillId="0" borderId="4" xfId="1" applyNumberFormat="1" applyFont="1" applyFill="1" applyBorder="1"/>
    <xf numFmtId="173" fontId="0" fillId="0" borderId="11" xfId="1" applyNumberFormat="1" applyFont="1" applyFill="1" applyBorder="1"/>
    <xf numFmtId="173" fontId="0" fillId="0" borderId="13" xfId="1" applyNumberFormat="1" applyFont="1" applyFill="1" applyBorder="1"/>
    <xf numFmtId="173" fontId="0" fillId="0" borderId="5" xfId="1" applyNumberFormat="1" applyFont="1" applyFill="1" applyBorder="1"/>
    <xf numFmtId="170" fontId="15" fillId="0" borderId="0" xfId="1" applyNumberFormat="1" applyFont="1" applyFill="1"/>
    <xf numFmtId="0" fontId="35" fillId="0" borderId="1" xfId="0" applyFont="1" applyFill="1" applyBorder="1"/>
    <xf numFmtId="0" fontId="35" fillId="0" borderId="15" xfId="0" applyFont="1" applyFill="1" applyBorder="1"/>
    <xf numFmtId="164" fontId="15" fillId="0" borderId="3" xfId="1" applyNumberFormat="1" applyFont="1" applyFill="1" applyBorder="1" applyAlignment="1">
      <alignment horizontal="left"/>
    </xf>
    <xf numFmtId="170" fontId="15" fillId="0" borderId="3" xfId="1" applyNumberFormat="1" applyFont="1" applyFill="1" applyBorder="1" applyAlignment="1">
      <alignment horizontal="left"/>
    </xf>
    <xf numFmtId="164" fontId="0" fillId="0" borderId="14" xfId="1" applyNumberFormat="1" applyFont="1" applyFill="1" applyBorder="1" applyAlignment="1">
      <alignment horizontal="centerContinuous"/>
    </xf>
    <xf numFmtId="0" fontId="0" fillId="0" borderId="13" xfId="0" applyFill="1" applyBorder="1" applyAlignment="1">
      <alignment horizontal="centerContinuous"/>
    </xf>
    <xf numFmtId="164" fontId="15" fillId="0" borderId="14" xfId="1" applyNumberFormat="1" applyFont="1" applyFill="1" applyBorder="1" applyAlignment="1">
      <alignment horizontal="center"/>
    </xf>
    <xf numFmtId="0" fontId="0" fillId="0" borderId="18" xfId="0" applyFill="1" applyBorder="1"/>
    <xf numFmtId="164" fontId="15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/>
    <xf numFmtId="164" fontId="0" fillId="0" borderId="4" xfId="1" applyNumberFormat="1" applyFont="1" applyFill="1" applyBorder="1" applyAlignment="1"/>
    <xf numFmtId="164" fontId="15" fillId="0" borderId="4" xfId="1" applyNumberFormat="1" applyFont="1" applyFill="1" applyBorder="1" applyAlignment="1"/>
    <xf numFmtId="0" fontId="0" fillId="0" borderId="5" xfId="0" applyFill="1" applyBorder="1"/>
    <xf numFmtId="0" fontId="15" fillId="0" borderId="16" xfId="0" applyFont="1" applyFill="1" applyBorder="1" applyAlignment="1">
      <alignment horizontal="center"/>
    </xf>
    <xf numFmtId="164" fontId="0" fillId="0" borderId="18" xfId="0" applyNumberFormat="1" applyFill="1" applyBorder="1"/>
    <xf numFmtId="170" fontId="0" fillId="0" borderId="16" xfId="1" applyNumberFormat="1" applyFont="1" applyFill="1" applyBorder="1"/>
    <xf numFmtId="170" fontId="0" fillId="0" borderId="18" xfId="1" applyNumberFormat="1" applyFont="1" applyFill="1" applyBorder="1"/>
    <xf numFmtId="164" fontId="0" fillId="0" borderId="5" xfId="1" applyNumberFormat="1" applyFont="1" applyFill="1" applyBorder="1" applyAlignment="1">
      <alignment horizontal="centerContinuous"/>
    </xf>
    <xf numFmtId="164" fontId="15" fillId="0" borderId="12" xfId="1" applyNumberFormat="1" applyFont="1" applyFill="1" applyBorder="1" applyAlignment="1">
      <alignment horizontal="center"/>
    </xf>
    <xf numFmtId="164" fontId="15" fillId="0" borderId="12" xfId="76" applyNumberFormat="1" applyFont="1" applyFill="1" applyBorder="1" applyAlignment="1">
      <alignment horizontal="centerContinuous"/>
    </xf>
    <xf numFmtId="164" fontId="15" fillId="0" borderId="16" xfId="76" applyNumberFormat="1" applyFont="1" applyFill="1" applyBorder="1" applyAlignment="1">
      <alignment horizontal="center"/>
    </xf>
    <xf numFmtId="164" fontId="0" fillId="0" borderId="18" xfId="76" applyNumberFormat="1" applyFont="1" applyFill="1" applyBorder="1" applyAlignment="1">
      <alignment horizontal="center"/>
    </xf>
    <xf numFmtId="170" fontId="0" fillId="0" borderId="19" xfId="1" applyNumberFormat="1" applyFont="1" applyFill="1" applyBorder="1"/>
    <xf numFmtId="9" fontId="35" fillId="0" borderId="0" xfId="78" applyFont="1" applyFill="1"/>
    <xf numFmtId="9" fontId="0" fillId="0" borderId="0" xfId="0" applyNumberFormat="1" applyFill="1"/>
    <xf numFmtId="9" fontId="35" fillId="0" borderId="0" xfId="0" applyNumberFormat="1" applyFont="1" applyFill="1"/>
    <xf numFmtId="164" fontId="0" fillId="0" borderId="16" xfId="0" applyNumberFormat="1" applyFill="1" applyBorder="1"/>
    <xf numFmtId="0" fontId="15" fillId="0" borderId="19" xfId="0" applyFont="1" applyFill="1" applyBorder="1" applyAlignment="1">
      <alignment horizontal="centerContinuous"/>
    </xf>
    <xf numFmtId="164" fontId="15" fillId="0" borderId="5" xfId="1" applyNumberFormat="1" applyFont="1" applyFill="1" applyBorder="1" applyAlignment="1">
      <alignment horizontal="left"/>
    </xf>
    <xf numFmtId="164" fontId="15" fillId="0" borderId="11" xfId="1" applyNumberFormat="1" applyFont="1" applyFill="1" applyBorder="1" applyAlignment="1">
      <alignment horizontal="left"/>
    </xf>
    <xf numFmtId="164" fontId="15" fillId="0" borderId="4" xfId="1" applyNumberFormat="1" applyFont="1" applyFill="1" applyBorder="1" applyAlignment="1">
      <alignment horizontal="left"/>
    </xf>
    <xf numFmtId="0" fontId="15" fillId="0" borderId="12" xfId="0" applyFont="1" applyFill="1" applyBorder="1" applyAlignment="1">
      <alignment horizontal="centerContinuous"/>
    </xf>
    <xf numFmtId="164" fontId="0" fillId="0" borderId="5" xfId="0" applyNumberFormat="1" applyFill="1" applyBorder="1"/>
    <xf numFmtId="164" fontId="0" fillId="0" borderId="11" xfId="0" applyNumberFormat="1" applyFill="1" applyBorder="1"/>
    <xf numFmtId="164" fontId="15" fillId="0" borderId="5" xfId="1" applyNumberFormat="1" applyFont="1" applyFill="1" applyBorder="1" applyAlignment="1">
      <alignment horizontal="center"/>
    </xf>
    <xf numFmtId="164" fontId="15" fillId="0" borderId="0" xfId="1" applyNumberFormat="1" applyFont="1" applyBorder="1"/>
    <xf numFmtId="175" fontId="0" fillId="0" borderId="0" xfId="78" applyNumberFormat="1" applyFont="1" applyBorder="1" applyAlignment="1">
      <alignment horizontal="center"/>
    </xf>
    <xf numFmtId="43" fontId="15" fillId="0" borderId="0" xfId="1" applyFont="1" applyAlignment="1">
      <alignment horizontal="left"/>
    </xf>
    <xf numFmtId="43" fontId="15" fillId="0" borderId="0" xfId="1" applyFont="1" applyAlignment="1">
      <alignment horizontal="center"/>
    </xf>
    <xf numFmtId="43" fontId="35" fillId="0" borderId="0" xfId="1" applyNumberFormat="1" applyFont="1" applyAlignment="1">
      <alignment horizontal="left"/>
    </xf>
    <xf numFmtId="43" fontId="15" fillId="0" borderId="0" xfId="1" applyFont="1" applyAlignment="1">
      <alignment horizontal="centerContinuous"/>
    </xf>
    <xf numFmtId="43" fontId="0" fillId="0" borderId="0" xfId="1" applyFont="1" applyAlignment="1">
      <alignment horizontal="centerContinuous"/>
    </xf>
    <xf numFmtId="164" fontId="0" fillId="0" borderId="19" xfId="1" applyNumberFormat="1" applyFont="1" applyBorder="1" applyAlignment="1">
      <alignment horizontal="left"/>
    </xf>
    <xf numFmtId="43" fontId="0" fillId="0" borderId="0" xfId="1" applyFont="1" applyBorder="1" applyAlignment="1">
      <alignment horizontal="left"/>
    </xf>
    <xf numFmtId="43" fontId="15" fillId="0" borderId="0" xfId="1" applyFont="1" applyBorder="1" applyAlignment="1">
      <alignment horizontal="left"/>
    </xf>
    <xf numFmtId="164" fontId="15" fillId="0" borderId="0" xfId="1" applyNumberFormat="1" applyFont="1" applyBorder="1" applyAlignment="1">
      <alignment horizontal="centerContinuous"/>
    </xf>
    <xf numFmtId="43" fontId="0" fillId="0" borderId="5" xfId="1" applyFont="1" applyBorder="1" applyAlignment="1">
      <alignment horizontal="left"/>
    </xf>
    <xf numFmtId="164" fontId="15" fillId="0" borderId="13" xfId="1" applyNumberFormat="1" applyFont="1" applyBorder="1"/>
    <xf numFmtId="164" fontId="15" fillId="0" borderId="16" xfId="1" quotePrefix="1" applyNumberFormat="1" applyFont="1" applyBorder="1"/>
    <xf numFmtId="164" fontId="15" fillId="0" borderId="17" xfId="1" quotePrefix="1" applyNumberFormat="1" applyFont="1" applyBorder="1"/>
    <xf numFmtId="164" fontId="15" fillId="0" borderId="18" xfId="1" quotePrefix="1" applyNumberFormat="1" applyFont="1" applyBorder="1"/>
    <xf numFmtId="175" fontId="0" fillId="0" borderId="16" xfId="78" applyNumberFormat="1" applyFont="1" applyBorder="1" applyAlignment="1">
      <alignment horizontal="right"/>
    </xf>
    <xf numFmtId="175" fontId="0" fillId="0" borderId="17" xfId="78" applyNumberFormat="1" applyFont="1" applyBorder="1" applyAlignment="1">
      <alignment horizontal="right"/>
    </xf>
    <xf numFmtId="175" fontId="0" fillId="0" borderId="18" xfId="78" applyNumberFormat="1" applyFont="1" applyBorder="1" applyAlignment="1">
      <alignment horizontal="right"/>
    </xf>
    <xf numFmtId="175" fontId="0" fillId="0" borderId="19" xfId="78" applyNumberFormat="1" applyFont="1" applyBorder="1" applyAlignment="1">
      <alignment horizontal="right"/>
    </xf>
    <xf numFmtId="173" fontId="0" fillId="0" borderId="7" xfId="1" applyNumberFormat="1" applyFont="1" applyBorder="1" applyAlignment="1">
      <alignment horizontal="centerContinuous"/>
    </xf>
    <xf numFmtId="43" fontId="0" fillId="0" borderId="1" xfId="1" applyFont="1" applyBorder="1" applyAlignment="1">
      <alignment horizontal="centerContinuous"/>
    </xf>
    <xf numFmtId="43" fontId="0" fillId="0" borderId="19" xfId="1" applyFont="1" applyBorder="1" applyAlignment="1">
      <alignment horizontal="center"/>
    </xf>
    <xf numFmtId="43" fontId="35" fillId="0" borderId="0" xfId="1" applyFont="1" applyFill="1" applyBorder="1" applyAlignment="1">
      <alignment horizontal="left"/>
    </xf>
    <xf numFmtId="43" fontId="35" fillId="0" borderId="0" xfId="1" applyNumberFormat="1" applyFont="1" applyFill="1" applyBorder="1" applyAlignment="1">
      <alignment horizontal="left"/>
    </xf>
    <xf numFmtId="43" fontId="15" fillId="0" borderId="0" xfId="1" applyNumberFormat="1" applyFont="1" applyFill="1" applyBorder="1" applyAlignment="1">
      <alignment horizontal="left"/>
    </xf>
    <xf numFmtId="43" fontId="15" fillId="0" borderId="11" xfId="1" applyFont="1" applyFill="1" applyBorder="1" applyAlignment="1">
      <alignment horizontal="center"/>
    </xf>
    <xf numFmtId="43" fontId="35" fillId="0" borderId="0" xfId="1" applyFont="1" applyFill="1" applyBorder="1" applyAlignment="1">
      <alignment horizontal="center"/>
    </xf>
    <xf numFmtId="43" fontId="35" fillId="0" borderId="0" xfId="1" applyFont="1" applyFill="1" applyBorder="1"/>
    <xf numFmtId="164" fontId="35" fillId="0" borderId="0" xfId="1" applyNumberFormat="1" applyFont="1" applyBorder="1" applyAlignment="1">
      <alignment horizontal="right"/>
    </xf>
    <xf numFmtId="173" fontId="0" fillId="0" borderId="0" xfId="1" applyNumberFormat="1" applyFont="1" applyBorder="1" applyAlignment="1">
      <alignment horizontal="left"/>
    </xf>
    <xf numFmtId="173" fontId="0" fillId="0" borderId="0" xfId="1" applyNumberFormat="1" applyFont="1" applyFill="1" applyBorder="1" applyAlignment="1">
      <alignment horizontal="left"/>
    </xf>
    <xf numFmtId="172" fontId="15" fillId="0" borderId="0" xfId="1" applyNumberFormat="1" applyFont="1" applyAlignment="1">
      <alignment horizontal="left"/>
    </xf>
    <xf numFmtId="175" fontId="15" fillId="0" borderId="0" xfId="78" applyNumberFormat="1" applyFont="1" applyAlignment="1">
      <alignment horizontal="left"/>
    </xf>
    <xf numFmtId="164" fontId="15" fillId="0" borderId="12" xfId="1" applyNumberFormat="1" applyFont="1" applyBorder="1" applyAlignment="1">
      <alignment horizontal="centerContinuous"/>
    </xf>
    <xf numFmtId="43" fontId="15" fillId="0" borderId="19" xfId="1" applyFont="1" applyBorder="1" applyAlignment="1">
      <alignment horizontal="center"/>
    </xf>
    <xf numFmtId="164" fontId="0" fillId="0" borderId="16" xfId="1" applyNumberFormat="1" applyFont="1" applyBorder="1" applyAlignment="1">
      <alignment horizontal="left"/>
    </xf>
    <xf numFmtId="164" fontId="0" fillId="0" borderId="17" xfId="1" applyNumberFormat="1" applyFont="1" applyBorder="1" applyAlignment="1">
      <alignment horizontal="left"/>
    </xf>
    <xf numFmtId="43" fontId="35" fillId="0" borderId="17" xfId="1" applyNumberFormat="1" applyFont="1" applyBorder="1" applyAlignment="1">
      <alignment horizontal="left"/>
    </xf>
    <xf numFmtId="43" fontId="35" fillId="0" borderId="19" xfId="1" applyNumberFormat="1" applyFont="1" applyBorder="1" applyAlignment="1">
      <alignment horizontal="left"/>
    </xf>
    <xf numFmtId="43" fontId="15" fillId="0" borderId="19" xfId="1" applyFont="1" applyBorder="1" applyAlignment="1">
      <alignment horizontal="centerContinuous"/>
    </xf>
    <xf numFmtId="164" fontId="0" fillId="0" borderId="18" xfId="1" applyNumberFormat="1" applyFont="1" applyBorder="1" applyAlignment="1">
      <alignment horizontal="left"/>
    </xf>
    <xf numFmtId="0" fontId="0" fillId="0" borderId="17" xfId="0" applyFill="1" applyBorder="1" applyAlignment="1">
      <alignment horizontal="left"/>
    </xf>
    <xf numFmtId="43" fontId="0" fillId="0" borderId="16" xfId="1" applyFont="1" applyFill="1" applyBorder="1"/>
    <xf numFmtId="43" fontId="15" fillId="0" borderId="5" xfId="1" applyFont="1" applyFill="1" applyBorder="1" applyAlignment="1">
      <alignment horizontal="center"/>
    </xf>
    <xf numFmtId="43" fontId="0" fillId="0" borderId="17" xfId="1" applyFont="1" applyFill="1" applyBorder="1"/>
    <xf numFmtId="43" fontId="15" fillId="0" borderId="4" xfId="1" applyFont="1" applyFill="1" applyBorder="1" applyAlignment="1">
      <alignment horizontal="center"/>
    </xf>
    <xf numFmtId="43" fontId="0" fillId="0" borderId="4" xfId="1" applyFont="1" applyFill="1" applyBorder="1"/>
    <xf numFmtId="43" fontId="0" fillId="0" borderId="4" xfId="1" applyFont="1" applyFill="1" applyBorder="1" applyAlignment="1">
      <alignment horizontal="center"/>
    </xf>
    <xf numFmtId="43" fontId="15" fillId="0" borderId="4" xfId="1" applyFont="1" applyFill="1" applyBorder="1" applyAlignment="1">
      <alignment horizontal="left"/>
    </xf>
    <xf numFmtId="43" fontId="0" fillId="0" borderId="4" xfId="1" applyFont="1" applyFill="1" applyBorder="1" applyAlignment="1">
      <alignment horizontal="centerContinuous"/>
    </xf>
    <xf numFmtId="43" fontId="0" fillId="0" borderId="17" xfId="1" applyFont="1" applyFill="1" applyBorder="1" applyAlignment="1">
      <alignment horizontal="center"/>
    </xf>
    <xf numFmtId="170" fontId="35" fillId="0" borderId="17" xfId="1" applyNumberFormat="1" applyFont="1" applyFill="1" applyBorder="1"/>
    <xf numFmtId="170" fontId="15" fillId="0" borderId="4" xfId="1" applyNumberFormat="1" applyFont="1" applyFill="1" applyBorder="1"/>
    <xf numFmtId="43" fontId="0" fillId="0" borderId="18" xfId="1" applyFont="1" applyFill="1" applyBorder="1" applyAlignment="1">
      <alignment horizontal="center"/>
    </xf>
    <xf numFmtId="43" fontId="0" fillId="0" borderId="19" xfId="0" applyNumberFormat="1" applyFill="1" applyBorder="1"/>
    <xf numFmtId="43" fontId="35" fillId="0" borderId="18" xfId="1" applyFont="1" applyFill="1" applyBorder="1"/>
    <xf numFmtId="170" fontId="35" fillId="0" borderId="18" xfId="1" applyNumberFormat="1" applyFont="1" applyFill="1" applyBorder="1"/>
    <xf numFmtId="170" fontId="15" fillId="0" borderId="11" xfId="1" applyNumberFormat="1" applyFont="1" applyFill="1" applyBorder="1"/>
    <xf numFmtId="43" fontId="15" fillId="0" borderId="16" xfId="1" applyFont="1" applyFill="1" applyBorder="1"/>
    <xf numFmtId="170" fontId="35" fillId="0" borderId="16" xfId="1" applyNumberFormat="1" applyFont="1" applyFill="1" applyBorder="1"/>
    <xf numFmtId="170" fontId="15" fillId="0" borderId="5" xfId="1" applyNumberFormat="1" applyFont="1" applyFill="1" applyBorder="1"/>
    <xf numFmtId="164" fontId="35" fillId="0" borderId="19" xfId="1" applyNumberFormat="1" applyFont="1" applyFill="1" applyBorder="1" applyAlignment="1">
      <alignment horizontal="center"/>
    </xf>
    <xf numFmtId="43" fontId="15" fillId="0" borderId="12" xfId="1" applyFont="1" applyFill="1" applyBorder="1" applyAlignment="1">
      <alignment horizontal="left"/>
    </xf>
    <xf numFmtId="0" fontId="15" fillId="0" borderId="4" xfId="0" applyFont="1" applyFill="1" applyBorder="1" applyAlignment="1">
      <alignment horizontal="centerContinuous"/>
    </xf>
    <xf numFmtId="43" fontId="0" fillId="0" borderId="7" xfId="1" applyFont="1" applyFill="1" applyBorder="1" applyAlignment="1">
      <alignment horizontal="centerContinuous"/>
    </xf>
    <xf numFmtId="164" fontId="15" fillId="0" borderId="17" xfId="76" applyNumberFormat="1" applyFont="1" applyFill="1" applyBorder="1" applyAlignment="1">
      <alignment horizontal="center"/>
    </xf>
    <xf numFmtId="164" fontId="0" fillId="0" borderId="4" xfId="1" applyNumberFormat="1" applyFont="1" applyBorder="1" applyAlignment="1"/>
    <xf numFmtId="164" fontId="0" fillId="0" borderId="11" xfId="1" applyNumberFormat="1" applyFont="1" applyBorder="1" applyAlignment="1"/>
    <xf numFmtId="9" fontId="35" fillId="0" borderId="0" xfId="1" applyNumberFormat="1" applyFont="1"/>
    <xf numFmtId="43" fontId="0" fillId="0" borderId="0" xfId="0" applyNumberFormat="1" applyFill="1"/>
    <xf numFmtId="43" fontId="15" fillId="0" borderId="0" xfId="1" applyNumberFormat="1" applyFont="1" applyFill="1" applyBorder="1" applyAlignment="1">
      <alignment horizontal="center"/>
    </xf>
    <xf numFmtId="175" fontId="15" fillId="0" borderId="5" xfId="78" applyNumberFormat="1" applyFont="1" applyBorder="1" applyAlignment="1">
      <alignment horizontal="centerContinuous"/>
    </xf>
    <xf numFmtId="175" fontId="15" fillId="0" borderId="7" xfId="78" applyNumberFormat="1" applyFont="1" applyBorder="1" applyAlignment="1">
      <alignment horizontal="centerContinuous"/>
    </xf>
    <xf numFmtId="43" fontId="15" fillId="0" borderId="0" xfId="1" applyFont="1"/>
    <xf numFmtId="164" fontId="15" fillId="0" borderId="14" xfId="1" applyNumberFormat="1" applyFont="1" applyFill="1" applyBorder="1"/>
    <xf numFmtId="164" fontId="15" fillId="0" borderId="11" xfId="1" applyNumberFormat="1" applyFont="1" applyBorder="1" applyAlignment="1"/>
    <xf numFmtId="164" fontId="0" fillId="0" borderId="7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43" fontId="0" fillId="0" borderId="14" xfId="1" applyFont="1" applyFill="1" applyBorder="1" applyAlignment="1">
      <alignment horizontal="centerContinuous"/>
    </xf>
    <xf numFmtId="164" fontId="0" fillId="0" borderId="6" xfId="1" applyNumberFormat="1" applyFont="1" applyFill="1" applyBorder="1" applyAlignment="1">
      <alignment horizontal="center"/>
    </xf>
    <xf numFmtId="164" fontId="15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164" fontId="15" fillId="0" borderId="1" xfId="1" applyNumberFormat="1" applyFont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Continuous"/>
    </xf>
    <xf numFmtId="1" fontId="15" fillId="0" borderId="0" xfId="0" applyNumberFormat="1" applyFont="1" applyFill="1" applyBorder="1" applyAlignment="1">
      <alignment horizontal="center"/>
    </xf>
    <xf numFmtId="9" fontId="15" fillId="0" borderId="0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/>
    <xf numFmtId="164" fontId="0" fillId="0" borderId="0" xfId="76" applyNumberFormat="1" applyFont="1" applyFill="1" applyBorder="1" applyAlignment="1">
      <alignment horizontal="centerContinuous"/>
    </xf>
    <xf numFmtId="43" fontId="35" fillId="0" borderId="4" xfId="1" applyFont="1" applyFill="1" applyBorder="1" applyAlignment="1">
      <alignment horizontal="center"/>
    </xf>
    <xf numFmtId="0" fontId="0" fillId="0" borderId="0" xfId="0" applyAlignment="1">
      <alignment horizontal="left"/>
    </xf>
    <xf numFmtId="2" fontId="15" fillId="0" borderId="12" xfId="1" applyNumberFormat="1" applyFont="1" applyFill="1" applyBorder="1" applyAlignment="1">
      <alignment horizontal="centerContinuous"/>
    </xf>
    <xf numFmtId="43" fontId="0" fillId="0" borderId="5" xfId="1" applyFont="1" applyBorder="1"/>
    <xf numFmtId="0" fontId="0" fillId="0" borderId="7" xfId="0" applyBorder="1"/>
    <xf numFmtId="0" fontId="0" fillId="0" borderId="15" xfId="0" applyBorder="1" applyAlignment="1">
      <alignment horizontal="centerContinuous"/>
    </xf>
    <xf numFmtId="164" fontId="0" fillId="0" borderId="17" xfId="1" applyNumberFormat="1" applyFont="1" applyFill="1" applyBorder="1" applyAlignment="1">
      <alignment horizontal="centerContinuous"/>
    </xf>
    <xf numFmtId="164" fontId="0" fillId="0" borderId="17" xfId="1" applyNumberFormat="1" applyFont="1" applyFill="1" applyBorder="1" applyAlignment="1">
      <alignment horizontal="center"/>
    </xf>
    <xf numFmtId="164" fontId="15" fillId="0" borderId="19" xfId="1" applyNumberFormat="1" applyFont="1" applyFill="1" applyBorder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15" xfId="0" applyBorder="1"/>
    <xf numFmtId="43" fontId="0" fillId="0" borderId="3" xfId="1" applyFont="1" applyBorder="1"/>
    <xf numFmtId="170" fontId="0" fillId="0" borderId="6" xfId="1" applyNumberFormat="1" applyFont="1" applyBorder="1"/>
    <xf numFmtId="170" fontId="0" fillId="0" borderId="0" xfId="1" applyNumberFormat="1" applyFont="1" applyBorder="1"/>
    <xf numFmtId="43" fontId="0" fillId="0" borderId="6" xfId="1" applyFont="1" applyFill="1" applyBorder="1"/>
    <xf numFmtId="170" fontId="0" fillId="0" borderId="6" xfId="1" applyNumberFormat="1" applyFont="1" applyFill="1" applyBorder="1"/>
    <xf numFmtId="0" fontId="0" fillId="0" borderId="11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43" fontId="15" fillId="0" borderId="5" xfId="1" applyFont="1" applyBorder="1" applyAlignment="1">
      <alignment horizontal="left"/>
    </xf>
    <xf numFmtId="173" fontId="0" fillId="0" borderId="1" xfId="1" applyNumberFormat="1" applyFont="1" applyBorder="1"/>
    <xf numFmtId="173" fontId="0" fillId="0" borderId="7" xfId="1" applyNumberFormat="1" applyFont="1" applyBorder="1"/>
    <xf numFmtId="43" fontId="0" fillId="0" borderId="0" xfId="0" applyNumberFormat="1" applyBorder="1"/>
    <xf numFmtId="170" fontId="15" fillId="0" borderId="16" xfId="1" applyNumberFormat="1" applyFont="1" applyBorder="1"/>
    <xf numFmtId="170" fontId="15" fillId="0" borderId="17" xfId="1" applyNumberFormat="1" applyFont="1" applyBorder="1"/>
    <xf numFmtId="170" fontId="15" fillId="0" borderId="18" xfId="1" applyNumberFormat="1" applyFont="1" applyBorder="1"/>
    <xf numFmtId="170" fontId="0" fillId="0" borderId="16" xfId="1" applyNumberFormat="1" applyFont="1" applyBorder="1"/>
    <xf numFmtId="170" fontId="0" fillId="0" borderId="17" xfId="1" applyNumberFormat="1" applyFont="1" applyBorder="1"/>
    <xf numFmtId="170" fontId="0" fillId="0" borderId="18" xfId="1" applyNumberFormat="1" applyFont="1" applyBorder="1"/>
    <xf numFmtId="43" fontId="0" fillId="0" borderId="18" xfId="1" applyFont="1" applyFill="1" applyBorder="1"/>
    <xf numFmtId="43" fontId="0" fillId="0" borderId="16" xfId="0" applyNumberFormat="1" applyBorder="1"/>
    <xf numFmtId="43" fontId="0" fillId="0" borderId="17" xfId="0" applyNumberFormat="1" applyBorder="1"/>
    <xf numFmtId="43" fontId="0" fillId="0" borderId="18" xfId="0" applyNumberFormat="1" applyBorder="1"/>
    <xf numFmtId="173" fontId="0" fillId="0" borderId="18" xfId="1" applyNumberFormat="1" applyFont="1" applyBorder="1"/>
    <xf numFmtId="43" fontId="15" fillId="0" borderId="4" xfId="1" applyFont="1" applyFill="1" applyBorder="1"/>
    <xf numFmtId="43" fontId="15" fillId="0" borderId="11" xfId="1" applyFont="1" applyFill="1" applyBorder="1"/>
    <xf numFmtId="2" fontId="15" fillId="0" borderId="3" xfId="1" applyNumberFormat="1" applyFont="1" applyFill="1" applyBorder="1" applyAlignment="1">
      <alignment horizontal="centerContinuous"/>
    </xf>
    <xf numFmtId="9" fontId="0" fillId="0" borderId="7" xfId="78" applyFont="1" applyBorder="1" applyAlignment="1">
      <alignment horizontal="center"/>
    </xf>
    <xf numFmtId="9" fontId="0" fillId="0" borderId="15" xfId="78" applyFont="1" applyBorder="1" applyAlignment="1">
      <alignment horizontal="center"/>
    </xf>
  </cellXfs>
  <cellStyles count="79">
    <cellStyle name="Comma" xfId="1" builtinId="3"/>
    <cellStyle name="Comma 10" xfId="77" xr:uid="{3F2DE733-1D9B-4DAD-913D-CDED71B970B1}"/>
    <cellStyle name="Comma 11 2 2" xfId="45" xr:uid="{A8AF87B3-D902-4A64-98D6-92420CD6E8D0}"/>
    <cellStyle name="Comma 119" xfId="59" xr:uid="{7F4FB01D-8482-4CDA-9B5A-31797E59C9B8}"/>
    <cellStyle name="Comma 2" xfId="2" xr:uid="{00000000-0005-0000-0000-000001000000}"/>
    <cellStyle name="Comma 2 2" xfId="13" xr:uid="{00000000-0005-0000-0000-000002000000}"/>
    <cellStyle name="Comma 2 2 2" xfId="55" xr:uid="{9F662017-4C1E-43CC-AF7E-DEC97BAD9846}"/>
    <cellStyle name="Comma 2 3" xfId="76" xr:uid="{A5305BB4-888A-4105-B0B0-24D313D285C3}"/>
    <cellStyle name="Comma 3" xfId="10" xr:uid="{00000000-0005-0000-0000-000003000000}"/>
    <cellStyle name="Comma 3 2" xfId="63" xr:uid="{1F27B944-4F6D-49E2-A680-66711A17796F}"/>
    <cellStyle name="Comma 4" xfId="24" xr:uid="{00000000-0005-0000-0000-000004000000}"/>
    <cellStyle name="Comma 4 2" xfId="66" xr:uid="{3394647B-3CCC-4C28-B050-4E59AE1D6D0D}"/>
    <cellStyle name="Comma 5" xfId="44" xr:uid="{40C1644A-19F3-4D19-9906-FCA9068955BF}"/>
    <cellStyle name="Comma 5 2" xfId="60" xr:uid="{31FA3BDB-EC51-4554-A0C1-3B0F3FC46027}"/>
    <cellStyle name="Comma 6" xfId="47" xr:uid="{77B4BCC1-56B9-4C24-B147-DE32F0589953}"/>
    <cellStyle name="Comma 6 2" xfId="54" xr:uid="{36E2D02B-30DD-4983-80A2-36B8283D642F}"/>
    <cellStyle name="Comma 7" xfId="53" xr:uid="{35C40BFA-481C-45FE-BD9D-7399B9852766}"/>
    <cellStyle name="Comma 8" xfId="56" xr:uid="{5430753C-823C-44CA-88B3-07D8715FBACE}"/>
    <cellStyle name="Comma 8 2" xfId="75" xr:uid="{98DCE8E2-638B-48BC-B8C2-7176C79BF79B}"/>
    <cellStyle name="Comma 9" xfId="61" xr:uid="{F2F1FF3C-14AC-4ECF-B483-95EDAADF633A}"/>
    <cellStyle name="Currency 2" xfId="14" xr:uid="{00000000-0005-0000-0000-000006000000}"/>
    <cellStyle name="Currency 3" xfId="15" xr:uid="{00000000-0005-0000-0000-000007000000}"/>
    <cellStyle name="General" xfId="3" xr:uid="{00000000-0005-0000-0000-000008000000}"/>
    <cellStyle name="Marathon" xfId="25" xr:uid="{00000000-0005-0000-0000-000009000000}"/>
    <cellStyle name="nONE" xfId="4" xr:uid="{00000000-0005-0000-0000-00000A000000}"/>
    <cellStyle name="Normal" xfId="0" builtinId="0"/>
    <cellStyle name="Normal 10" xfId="16" xr:uid="{00000000-0005-0000-0000-00000C000000}"/>
    <cellStyle name="Normal 10 2" xfId="35" xr:uid="{00000000-0005-0000-0000-00000D000000}"/>
    <cellStyle name="Normal 11" xfId="17" xr:uid="{00000000-0005-0000-0000-00000E000000}"/>
    <cellStyle name="Normal 12" xfId="23" xr:uid="{00000000-0005-0000-0000-00000F000000}"/>
    <cellStyle name="Normal 12 2" xfId="65" xr:uid="{3E4004B7-5FF7-4050-9020-D331318AA5F7}"/>
    <cellStyle name="Normal 13" xfId="29" xr:uid="{00000000-0005-0000-0000-000010000000}"/>
    <cellStyle name="Normal 14" xfId="30" xr:uid="{00000000-0005-0000-0000-000011000000}"/>
    <cellStyle name="Normal 15" xfId="32" xr:uid="{00000000-0005-0000-0000-000012000000}"/>
    <cellStyle name="Normal 15 2" xfId="68" xr:uid="{25941E90-C675-4464-8EDA-28EBD2ACC71A}"/>
    <cellStyle name="Normal 16" xfId="33" xr:uid="{00000000-0005-0000-0000-000013000000}"/>
    <cellStyle name="Normal 16 2" xfId="69" xr:uid="{8ACB398B-69AB-413F-81E3-5296C631E427}"/>
    <cellStyle name="Normal 16 7" xfId="43" xr:uid="{D132D29B-CC63-460D-AA56-29DEFCA385D7}"/>
    <cellStyle name="Normal 17" xfId="34" xr:uid="{00000000-0005-0000-0000-000014000000}"/>
    <cellStyle name="Normal 17 2" xfId="70" xr:uid="{4D9B4CFD-4001-4936-8C6C-E1FDCB4D84CF}"/>
    <cellStyle name="Normal 18" xfId="36" xr:uid="{00000000-0005-0000-0000-000015000000}"/>
    <cellStyle name="Normal 19" xfId="37" xr:uid="{00000000-0005-0000-0000-000016000000}"/>
    <cellStyle name="Normal 2" xfId="5" xr:uid="{00000000-0005-0000-0000-000017000000}"/>
    <cellStyle name="Normal 2 2" xfId="18" xr:uid="{00000000-0005-0000-0000-000018000000}"/>
    <cellStyle name="Normal 2 3" xfId="38" xr:uid="{00000000-0005-0000-0000-000019000000}"/>
    <cellStyle name="Normal 20" xfId="39" xr:uid="{00000000-0005-0000-0000-00001A000000}"/>
    <cellStyle name="Normal 20 2" xfId="71" xr:uid="{573675B9-AB61-44E4-8FE8-8DE3A3D5F008}"/>
    <cellStyle name="Normal 21" xfId="40" xr:uid="{00000000-0005-0000-0000-00001B000000}"/>
    <cellStyle name="Normal 21 2" xfId="72" xr:uid="{387A587B-EAB7-49A5-BB0B-0115C7EAB3F2}"/>
    <cellStyle name="Normal 22" xfId="41" xr:uid="{00000000-0005-0000-0000-00001C000000}"/>
    <cellStyle name="Normal 22 2" xfId="73" xr:uid="{3E96D511-EDD5-48D1-802A-FBAEEE9A0F70}"/>
    <cellStyle name="Normal 23" xfId="42" xr:uid="{67E10739-CDBB-4984-ACAB-4828CEDD8C77}"/>
    <cellStyle name="Normal 23 2" xfId="49" xr:uid="{8CA4C8A2-17A5-442D-B97F-6EF8F5A1F3AA}"/>
    <cellStyle name="Normal 24" xfId="48" xr:uid="{59FFA6EF-1465-41F0-BC0E-270A66672853}"/>
    <cellStyle name="Normal 24 2" xfId="74" xr:uid="{E6C236BA-A57A-48DC-9AA6-58F16F8F93FA}"/>
    <cellStyle name="Normal 25" xfId="52" xr:uid="{2B4F5EB3-8FC1-4DC5-B124-C1057970AE19}"/>
    <cellStyle name="Normal 26" xfId="57" xr:uid="{E27873C5-F510-4C1F-B387-519A30BFDD10}"/>
    <cellStyle name="Normal 3" xfId="9" xr:uid="{00000000-0005-0000-0000-00001D000000}"/>
    <cellStyle name="Normal 3 2" xfId="26" xr:uid="{00000000-0005-0000-0000-00001E000000}"/>
    <cellStyle name="Normal 4" xfId="11" xr:uid="{00000000-0005-0000-0000-00001F000000}"/>
    <cellStyle name="Normal 4 2" xfId="27" xr:uid="{00000000-0005-0000-0000-000020000000}"/>
    <cellStyle name="Normal 5" xfId="12" xr:uid="{00000000-0005-0000-0000-000021000000}"/>
    <cellStyle name="Normal 5 3 12" xfId="58" xr:uid="{E988E733-F14D-4208-9C52-E5713D9040DB}"/>
    <cellStyle name="Normal 6" xfId="19" xr:uid="{00000000-0005-0000-0000-000022000000}"/>
    <cellStyle name="Normal 7" xfId="20" xr:uid="{00000000-0005-0000-0000-000023000000}"/>
    <cellStyle name="Normal 7 2" xfId="64" xr:uid="{6E7DE208-CEA0-490C-BFCB-BC6D3AE666E6}"/>
    <cellStyle name="Normal 8" xfId="21" xr:uid="{00000000-0005-0000-0000-000024000000}"/>
    <cellStyle name="Normal 9" xfId="22" xr:uid="{00000000-0005-0000-0000-000025000000}"/>
    <cellStyle name="Normal_OR 1999 SAS VS 305" xfId="6" xr:uid="{00000000-0005-0000-0000-000028000000}"/>
    <cellStyle name="Percent" xfId="78" builtinId="5"/>
    <cellStyle name="Percent 2" xfId="7" xr:uid="{00000000-0005-0000-0000-00002C000000}"/>
    <cellStyle name="Percent 2 2" xfId="50" xr:uid="{2EE5D67F-3EEE-484B-A089-16FC41F9BD30}"/>
    <cellStyle name="Percent 2 3" xfId="62" xr:uid="{95DC136C-B233-4B17-9FB8-BB9422A7F4FB}"/>
    <cellStyle name="Percent 3" xfId="28" xr:uid="{00000000-0005-0000-0000-00002D000000}"/>
    <cellStyle name="Percent 3 2" xfId="31" xr:uid="{00000000-0005-0000-0000-00002E000000}"/>
    <cellStyle name="Percent 3 3" xfId="67" xr:uid="{CEC90409-0487-4809-9B5F-31B1F6BDF925}"/>
    <cellStyle name="Percent 4" xfId="46" xr:uid="{C2D6DD70-EE07-411D-B249-5E2BD51A1A68}"/>
    <cellStyle name="Percent 5" xfId="51" xr:uid="{5B9D46E7-D98F-40D4-B193-B9E2DFBA89F8}"/>
    <cellStyle name="TRANSMISSION RELIABILITY PORTION OF PROJECT" xfId="8" xr:uid="{00000000-0005-0000-0000-00002F000000}"/>
  </cellStyles>
  <dxfs count="0"/>
  <tableStyles count="0" defaultTableStyle="TableStyleMedium9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33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18.xml"/><Relationship Id="rId45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36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34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24.xml"/><Relationship Id="rId59" Type="http://schemas.openxmlformats.org/officeDocument/2006/relationships/theme" Target="theme/theme1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9.xml"/><Relationship Id="rId54" Type="http://schemas.openxmlformats.org/officeDocument/2006/relationships/externalLink" Target="externalLinks/externalLink32.xml"/><Relationship Id="rId62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externalLink" Target="externalLinks/externalLink14.xml"/><Relationship Id="rId49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3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9.xml"/><Relationship Id="rId44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30.xml"/><Relationship Id="rId60" Type="http://schemas.openxmlformats.org/officeDocument/2006/relationships/styles" Target="styles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74933/AppData/Local/Microsoft/Windows/INetCache/Content.Outlook/7BA3TAPH/WA%20JAM%202021%20GRC_Settlement%20(0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COS\WA%204-2010%20GRC%20(Docket%20UE-xxxxxx)\JAM\WA%20RAM%20JUNE%202008%20GRC_testing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6%20-%20%20old%20method/RECOV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305A/Book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>
        <row r="6">
          <cell r="E6" t="str">
            <v>ACCMDIT</v>
          </cell>
        </row>
      </sheetData>
      <sheetData sheetId="3" refreshError="1"/>
      <sheetData sheetId="4" refreshError="1"/>
      <sheetData sheetId="5">
        <row r="56">
          <cell r="I56" t="str">
            <v>WASHINGTON</v>
          </cell>
        </row>
      </sheetData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IDAHO-UPL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1.4169723417926893E-2</v>
          </cell>
          <cell r="L24">
            <v>0.25548929395232889</v>
          </cell>
          <cell r="M24">
            <v>7.8111041399714837E-2</v>
          </cell>
          <cell r="N24">
            <v>0</v>
          </cell>
          <cell r="O24">
            <v>0.12699884843149184</v>
          </cell>
          <cell r="P24">
            <v>0.44125326878363164</v>
          </cell>
          <cell r="Q24">
            <v>5.9255041742391552E-2</v>
          </cell>
          <cell r="R24">
            <v>2.4382588929119191E-2</v>
          </cell>
          <cell r="S24">
            <v>3.401933433952953E-4</v>
          </cell>
          <cell r="AC24" t="str">
            <v>SG</v>
          </cell>
          <cell r="AF24">
            <v>0.99999999999999989</v>
          </cell>
          <cell r="AG24">
            <v>1.4169723417926893E-2</v>
          </cell>
          <cell r="AH24">
            <v>0.25548929395232889</v>
          </cell>
          <cell r="AI24">
            <v>7.8111041399714837E-2</v>
          </cell>
          <cell r="AJ24">
            <v>0</v>
          </cell>
          <cell r="AK24">
            <v>0.12699884843149184</v>
          </cell>
          <cell r="AL24">
            <v>0.44125326878363164</v>
          </cell>
          <cell r="AM24">
            <v>5.9255041742391552E-2</v>
          </cell>
          <cell r="AN24">
            <v>2.4382588929119191E-2</v>
          </cell>
          <cell r="AO24">
            <v>3.401933433952953E-4</v>
          </cell>
        </row>
        <row r="25">
          <cell r="G25" t="str">
            <v>SG-P</v>
          </cell>
          <cell r="J25">
            <v>0.99999999999999989</v>
          </cell>
          <cell r="K25">
            <v>1.4169723417926893E-2</v>
          </cell>
          <cell r="L25">
            <v>0.25548929395232889</v>
          </cell>
          <cell r="M25">
            <v>7.8111041399714837E-2</v>
          </cell>
          <cell r="N25">
            <v>0</v>
          </cell>
          <cell r="O25">
            <v>0.12699884843149184</v>
          </cell>
          <cell r="P25">
            <v>0.44125326878363164</v>
          </cell>
          <cell r="Q25">
            <v>5.9255041742391552E-2</v>
          </cell>
          <cell r="R25">
            <v>2.4382588929119191E-2</v>
          </cell>
          <cell r="S25">
            <v>3.401933433952953E-4</v>
          </cell>
          <cell r="AC25" t="str">
            <v>SG-P</v>
          </cell>
          <cell r="AF25">
            <v>0.99999999999999989</v>
          </cell>
          <cell r="AG25">
            <v>1.4169723417926893E-2</v>
          </cell>
          <cell r="AH25">
            <v>0.25548929395232889</v>
          </cell>
          <cell r="AI25">
            <v>7.8111041399714837E-2</v>
          </cell>
          <cell r="AJ25">
            <v>0</v>
          </cell>
          <cell r="AK25">
            <v>0.12699884843149184</v>
          </cell>
          <cell r="AL25">
            <v>0.44125326878363164</v>
          </cell>
          <cell r="AM25">
            <v>5.9255041742391552E-2</v>
          </cell>
          <cell r="AN25">
            <v>2.4382588929119191E-2</v>
          </cell>
          <cell r="AO25">
            <v>3.401933433952953E-4</v>
          </cell>
        </row>
        <row r="26">
          <cell r="G26" t="str">
            <v>SG-U</v>
          </cell>
          <cell r="J26">
            <v>0.99999999999999989</v>
          </cell>
          <cell r="K26">
            <v>1.4169723417926893E-2</v>
          </cell>
          <cell r="L26">
            <v>0.25548929395232889</v>
          </cell>
          <cell r="M26">
            <v>7.8111041399714837E-2</v>
          </cell>
          <cell r="N26">
            <v>0</v>
          </cell>
          <cell r="O26">
            <v>0.12699884843149184</v>
          </cell>
          <cell r="P26">
            <v>0.44125326878363164</v>
          </cell>
          <cell r="Q26">
            <v>5.9255041742391552E-2</v>
          </cell>
          <cell r="R26">
            <v>2.4382588929119191E-2</v>
          </cell>
          <cell r="S26">
            <v>3.401933433952953E-4</v>
          </cell>
          <cell r="AC26" t="str">
            <v>SG-U</v>
          </cell>
          <cell r="AF26">
            <v>0.99999999999999989</v>
          </cell>
          <cell r="AG26">
            <v>1.4169723417926893E-2</v>
          </cell>
          <cell r="AH26">
            <v>0.25548929395232889</v>
          </cell>
          <cell r="AI26">
            <v>7.8111041399714837E-2</v>
          </cell>
          <cell r="AJ26">
            <v>0</v>
          </cell>
          <cell r="AK26">
            <v>0.12699884843149184</v>
          </cell>
          <cell r="AL26">
            <v>0.44125326878363164</v>
          </cell>
          <cell r="AM26">
            <v>5.9255041742391552E-2</v>
          </cell>
          <cell r="AN26">
            <v>2.4382588929119191E-2</v>
          </cell>
          <cell r="AO26">
            <v>3.401933433952953E-4</v>
          </cell>
        </row>
        <row r="27">
          <cell r="G27" t="str">
            <v>DGP</v>
          </cell>
          <cell r="J27">
            <v>0.99999999999999989</v>
          </cell>
          <cell r="K27">
            <v>2.9845516846186693E-2</v>
          </cell>
          <cell r="L27">
            <v>0.53813400599107708</v>
          </cell>
          <cell r="M27">
            <v>0.16452434061055596</v>
          </cell>
          <cell r="N27">
            <v>0</v>
          </cell>
          <cell r="O27">
            <v>0.26749613655218035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0.99999999999999989</v>
          </cell>
          <cell r="AG27">
            <v>2.9845516846186693E-2</v>
          </cell>
          <cell r="AH27">
            <v>0.53813400599107708</v>
          </cell>
          <cell r="AI27">
            <v>0.16452434061055596</v>
          </cell>
          <cell r="AJ27">
            <v>0</v>
          </cell>
          <cell r="AK27">
            <v>0.26749613655218035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0.84011261868094067</v>
          </cell>
          <cell r="Q28">
            <v>0.11281708671637981</v>
          </cell>
          <cell r="R28">
            <v>4.6422592385389483E-2</v>
          </cell>
          <cell r="S28">
            <v>6.4770221729006235E-4</v>
          </cell>
          <cell r="AC28" t="str">
            <v>DGU</v>
          </cell>
          <cell r="AF28">
            <v>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0.84011261868094067</v>
          </cell>
          <cell r="AM28">
            <v>0.11281708671637981</v>
          </cell>
          <cell r="AN28">
            <v>4.6422592385389483E-2</v>
          </cell>
          <cell r="AO28">
            <v>6.4770221729006235E-4</v>
          </cell>
        </row>
        <row r="29">
          <cell r="G29" t="str">
            <v>SC</v>
          </cell>
          <cell r="J29">
            <v>0.99999999999999978</v>
          </cell>
          <cell r="K29">
            <v>1.4249775319185302E-2</v>
          </cell>
          <cell r="L29">
            <v>0.2603588871970105</v>
          </cell>
          <cell r="M29">
            <v>7.9359363115139928E-2</v>
          </cell>
          <cell r="N29">
            <v>0</v>
          </cell>
          <cell r="O29">
            <v>0.12260777088356635</v>
          </cell>
          <cell r="P29">
            <v>0.44213896874550557</v>
          </cell>
          <cell r="Q29">
            <v>5.750322564109351E-2</v>
          </cell>
          <cell r="R29">
            <v>2.3440621536391617E-2</v>
          </cell>
          <cell r="S29">
            <v>3.4138756210732598E-4</v>
          </cell>
          <cell r="AC29" t="str">
            <v>SC</v>
          </cell>
          <cell r="AF29">
            <v>0.99999999999999978</v>
          </cell>
          <cell r="AG29">
            <v>1.4249775319185302E-2</v>
          </cell>
          <cell r="AH29">
            <v>0.2603588871970105</v>
          </cell>
          <cell r="AI29">
            <v>7.9359363115139928E-2</v>
          </cell>
          <cell r="AJ29">
            <v>0</v>
          </cell>
          <cell r="AK29">
            <v>0.12260777088356635</v>
          </cell>
          <cell r="AL29">
            <v>0.44213896874550557</v>
          </cell>
          <cell r="AM29">
            <v>5.750322564109351E-2</v>
          </cell>
          <cell r="AN29">
            <v>2.3440621536391617E-2</v>
          </cell>
          <cell r="AO29">
            <v>3.4138756210732598E-4</v>
          </cell>
        </row>
        <row r="30">
          <cell r="G30" t="str">
            <v>SE</v>
          </cell>
          <cell r="J30">
            <v>0.99999999999999989</v>
          </cell>
          <cell r="K30">
            <v>1.3929567714151662E-2</v>
          </cell>
          <cell r="L30">
            <v>0.24088051421828402</v>
          </cell>
          <cell r="M30">
            <v>7.4366076253439578E-2</v>
          </cell>
          <cell r="N30">
            <v>0</v>
          </cell>
          <cell r="O30">
            <v>0.1401720810752683</v>
          </cell>
          <cell r="P30">
            <v>0.43859616889800973</v>
          </cell>
          <cell r="Q30">
            <v>6.4510490046285673E-2</v>
          </cell>
          <cell r="R30">
            <v>2.7208491107301919E-2</v>
          </cell>
          <cell r="S30">
            <v>3.3661068725920326E-4</v>
          </cell>
          <cell r="AC30" t="str">
            <v>SE</v>
          </cell>
          <cell r="AF30">
            <v>0.99999999999999989</v>
          </cell>
          <cell r="AG30">
            <v>1.3929567714151662E-2</v>
          </cell>
          <cell r="AH30">
            <v>0.24088051421828402</v>
          </cell>
          <cell r="AI30">
            <v>7.4366076253439578E-2</v>
          </cell>
          <cell r="AJ30">
            <v>0</v>
          </cell>
          <cell r="AK30">
            <v>0.1401720810752683</v>
          </cell>
          <cell r="AL30">
            <v>0.43859616889800973</v>
          </cell>
          <cell r="AM30">
            <v>6.4510490046285673E-2</v>
          </cell>
          <cell r="AN30">
            <v>2.7208491107301919E-2</v>
          </cell>
          <cell r="AO30">
            <v>3.3661068725920326E-4</v>
          </cell>
        </row>
        <row r="31">
          <cell r="G31" t="str">
            <v>CAEW</v>
          </cell>
          <cell r="J31">
            <v>1</v>
          </cell>
          <cell r="K31">
            <v>4.2316453873570276E-2</v>
          </cell>
          <cell r="L31">
            <v>0.73176780343328052</v>
          </cell>
          <cell r="M31">
            <v>0.22591574269314921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AC31" t="str">
            <v>CAEW</v>
          </cell>
          <cell r="AF31">
            <v>1</v>
          </cell>
          <cell r="AG31">
            <v>4.2316453873570276E-2</v>
          </cell>
          <cell r="AH31">
            <v>0.73176780343328052</v>
          </cell>
          <cell r="AI31">
            <v>0.22591574269314921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G32" t="str">
            <v>CAEE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0.20895512702142133</v>
          </cell>
          <cell r="P32">
            <v>0.65381720439736279</v>
          </cell>
          <cell r="Q32">
            <v>9.6166066298163225E-2</v>
          </cell>
          <cell r="R32">
            <v>4.0559815276871129E-2</v>
          </cell>
          <cell r="S32">
            <v>5.017870061816811E-4</v>
          </cell>
          <cell r="AC32" t="str">
            <v>CAEE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0.20895512702142133</v>
          </cell>
          <cell r="AL32">
            <v>0.65381720439736279</v>
          </cell>
          <cell r="AM32">
            <v>9.6166066298163225E-2</v>
          </cell>
          <cell r="AN32">
            <v>4.0559815276871129E-2</v>
          </cell>
          <cell r="AO32">
            <v>5.017870061816811E-4</v>
          </cell>
        </row>
        <row r="33">
          <cell r="G33" t="str">
            <v>DEP</v>
          </cell>
          <cell r="J33">
            <v>1</v>
          </cell>
          <cell r="K33">
            <v>2.9678534079684279E-2</v>
          </cell>
          <cell r="L33">
            <v>0.51322343213108124</v>
          </cell>
          <cell r="M33">
            <v>0.15844541436973958</v>
          </cell>
          <cell r="N33">
            <v>0</v>
          </cell>
          <cell r="O33">
            <v>0.29865261941949478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2.9678534079684279E-2</v>
          </cell>
          <cell r="AH33">
            <v>0.51322343213108124</v>
          </cell>
          <cell r="AI33">
            <v>0.15844541436973958</v>
          </cell>
          <cell r="AJ33">
            <v>0</v>
          </cell>
          <cell r="AK33">
            <v>0.29865261941949478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0.99999999999999978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0.82652353454425065</v>
          </cell>
          <cell r="Q34">
            <v>0.12156840854812967</v>
          </cell>
          <cell r="R34">
            <v>5.1273722468041925E-2</v>
          </cell>
          <cell r="S34">
            <v>6.3433443957770178E-4</v>
          </cell>
          <cell r="AC34" t="str">
            <v>DEU</v>
          </cell>
          <cell r="AF34">
            <v>0.99999999999999978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0.82652353454425065</v>
          </cell>
          <cell r="AM34">
            <v>0.12156840854812967</v>
          </cell>
          <cell r="AN34">
            <v>5.1273722468041925E-2</v>
          </cell>
          <cell r="AO34">
            <v>6.3433443957770178E-4</v>
          </cell>
        </row>
        <row r="35">
          <cell r="G35" t="str">
            <v>SO</v>
          </cell>
          <cell r="J35">
            <v>1</v>
          </cell>
          <cell r="K35">
            <v>1.9365863482081101E-2</v>
          </cell>
          <cell r="L35">
            <v>0.24539457989418231</v>
          </cell>
          <cell r="M35">
            <v>6.7017620954721469E-2</v>
          </cell>
          <cell r="N35">
            <v>0</v>
          </cell>
          <cell r="O35">
            <v>0.12238021906200923</v>
          </cell>
          <cell r="P35">
            <v>0.46080784248160161</v>
          </cell>
          <cell r="Q35">
            <v>6.1060027203752885E-2</v>
          </cell>
          <cell r="R35">
            <v>2.371638804573694E-2</v>
          </cell>
          <cell r="S35">
            <v>2.5745887591448099E-4</v>
          </cell>
          <cell r="AC35" t="str">
            <v>SO</v>
          </cell>
          <cell r="AF35">
            <v>1</v>
          </cell>
          <cell r="AG35">
            <v>1.9365863482081101E-2</v>
          </cell>
          <cell r="AH35">
            <v>0.24539457989418231</v>
          </cell>
          <cell r="AI35">
            <v>6.7017620954721469E-2</v>
          </cell>
          <cell r="AJ35">
            <v>0</v>
          </cell>
          <cell r="AK35">
            <v>0.12238021906200923</v>
          </cell>
          <cell r="AL35">
            <v>0.46080784248160161</v>
          </cell>
          <cell r="AM35">
            <v>6.1060027203752885E-2</v>
          </cell>
          <cell r="AN35">
            <v>2.371638804573694E-2</v>
          </cell>
          <cell r="AO35">
            <v>2.5745887591448099E-4</v>
          </cell>
        </row>
        <row r="36">
          <cell r="G36" t="str">
            <v>SO-P</v>
          </cell>
          <cell r="J36">
            <v>1</v>
          </cell>
          <cell r="K36">
            <v>1.9365863482081101E-2</v>
          </cell>
          <cell r="L36">
            <v>0.24539457989418231</v>
          </cell>
          <cell r="M36">
            <v>6.7017620954721469E-2</v>
          </cell>
          <cell r="N36">
            <v>0</v>
          </cell>
          <cell r="O36">
            <v>0.12238021906200923</v>
          </cell>
          <cell r="P36">
            <v>0.46080784248160161</v>
          </cell>
          <cell r="Q36">
            <v>6.1060027203752885E-2</v>
          </cell>
          <cell r="R36">
            <v>2.371638804573694E-2</v>
          </cell>
          <cell r="S36">
            <v>2.5745887591448099E-4</v>
          </cell>
          <cell r="AC36" t="str">
            <v>SO-P</v>
          </cell>
          <cell r="AF36">
            <v>1</v>
          </cell>
          <cell r="AG36">
            <v>1.9365863482081101E-2</v>
          </cell>
          <cell r="AH36">
            <v>0.24539457989418231</v>
          </cell>
          <cell r="AI36">
            <v>6.7017620954721469E-2</v>
          </cell>
          <cell r="AJ36">
            <v>0</v>
          </cell>
          <cell r="AK36">
            <v>0.12238021906200923</v>
          </cell>
          <cell r="AL36">
            <v>0.46080784248160161</v>
          </cell>
          <cell r="AM36">
            <v>6.1060027203752885E-2</v>
          </cell>
          <cell r="AN36">
            <v>2.371638804573694E-2</v>
          </cell>
          <cell r="AO36">
            <v>2.5745887591448099E-4</v>
          </cell>
        </row>
        <row r="37">
          <cell r="G37" t="str">
            <v>SO-U</v>
          </cell>
          <cell r="J37">
            <v>1</v>
          </cell>
          <cell r="K37">
            <v>1.9365863482081101E-2</v>
          </cell>
          <cell r="L37">
            <v>0.24539457989418231</v>
          </cell>
          <cell r="M37">
            <v>6.7017620954721469E-2</v>
          </cell>
          <cell r="N37">
            <v>0</v>
          </cell>
          <cell r="O37">
            <v>0.12238021906200923</v>
          </cell>
          <cell r="P37">
            <v>0.46080784248160161</v>
          </cell>
          <cell r="Q37">
            <v>6.1060027203752885E-2</v>
          </cell>
          <cell r="R37">
            <v>2.371638804573694E-2</v>
          </cell>
          <cell r="S37">
            <v>2.5745887591448099E-4</v>
          </cell>
          <cell r="AC37" t="str">
            <v>SO-U</v>
          </cell>
          <cell r="AF37">
            <v>1</v>
          </cell>
          <cell r="AG37">
            <v>1.9365863482081101E-2</v>
          </cell>
          <cell r="AH37">
            <v>0.24539457989418231</v>
          </cell>
          <cell r="AI37">
            <v>6.7017620954721469E-2</v>
          </cell>
          <cell r="AJ37">
            <v>0</v>
          </cell>
          <cell r="AK37">
            <v>0.12238021906200923</v>
          </cell>
          <cell r="AL37">
            <v>0.46080784248160161</v>
          </cell>
          <cell r="AM37">
            <v>6.1060027203752885E-2</v>
          </cell>
          <cell r="AN37">
            <v>2.371638804573694E-2</v>
          </cell>
          <cell r="AO37">
            <v>2.5745887591448099E-4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1</v>
          </cell>
          <cell r="K40">
            <v>1.9365863482081112E-2</v>
          </cell>
          <cell r="L40">
            <v>0.24539457989418229</v>
          </cell>
          <cell r="M40">
            <v>6.7017620954721469E-2</v>
          </cell>
          <cell r="N40">
            <v>0</v>
          </cell>
          <cell r="O40">
            <v>0.12238021906200919</v>
          </cell>
          <cell r="P40">
            <v>0.46080784248160156</v>
          </cell>
          <cell r="Q40">
            <v>6.1060027203752885E-2</v>
          </cell>
          <cell r="R40">
            <v>2.371638804573694E-2</v>
          </cell>
          <cell r="S40">
            <v>2.5745887591448104E-4</v>
          </cell>
          <cell r="AC40" t="str">
            <v>GPS</v>
          </cell>
          <cell r="AF40">
            <v>1</v>
          </cell>
          <cell r="AG40">
            <v>1.9365863482081112E-2</v>
          </cell>
          <cell r="AH40">
            <v>0.24539457989418229</v>
          </cell>
          <cell r="AI40">
            <v>6.7017620954721469E-2</v>
          </cell>
          <cell r="AJ40">
            <v>0</v>
          </cell>
          <cell r="AK40">
            <v>0.12238021906200922</v>
          </cell>
          <cell r="AL40">
            <v>0.46080784248160156</v>
          </cell>
          <cell r="AM40">
            <v>6.1060027203752885E-2</v>
          </cell>
          <cell r="AN40">
            <v>2.371638804573694E-2</v>
          </cell>
          <cell r="AO40">
            <v>2.5745887591448104E-4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0.99999999999999989</v>
          </cell>
          <cell r="K43">
            <v>1.6705365975130095E-2</v>
          </cell>
          <cell r="L43">
            <v>0.22278222719612598</v>
          </cell>
          <cell r="M43">
            <v>6.0894111271351227E-2</v>
          </cell>
          <cell r="N43">
            <v>0</v>
          </cell>
          <cell r="O43">
            <v>0.12592571023280555</v>
          </cell>
          <cell r="P43">
            <v>0.48639154643210392</v>
          </cell>
          <cell r="Q43">
            <v>6.2591295688628978E-2</v>
          </cell>
          <cell r="R43">
            <v>2.4261908688767559E-2</v>
          </cell>
          <cell r="S43">
            <v>2.7190771167417228E-4</v>
          </cell>
          <cell r="T43">
            <v>1.7592680341238073E-4</v>
          </cell>
          <cell r="AC43" t="str">
            <v>SNP</v>
          </cell>
          <cell r="AF43">
            <v>0.99999999999999989</v>
          </cell>
          <cell r="AG43">
            <v>1.6705365975130095E-2</v>
          </cell>
          <cell r="AH43">
            <v>0.22278222719612598</v>
          </cell>
          <cell r="AI43">
            <v>6.0894111271351227E-2</v>
          </cell>
          <cell r="AJ43">
            <v>0</v>
          </cell>
          <cell r="AK43">
            <v>0.12592571023280558</v>
          </cell>
          <cell r="AL43">
            <v>0.48639154643210392</v>
          </cell>
          <cell r="AM43">
            <v>6.2591295688628978E-2</v>
          </cell>
          <cell r="AN43">
            <v>2.4261908688767559E-2</v>
          </cell>
          <cell r="AO43">
            <v>2.7190771167417228E-4</v>
          </cell>
          <cell r="AP43">
            <v>1.7592680341238073E-4</v>
          </cell>
        </row>
        <row r="44">
          <cell r="G44" t="str">
            <v>SSCCT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AC44" t="str">
            <v>SSCCT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G45" t="str">
            <v>SSECT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AC45" t="str">
            <v>SSECT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G46" t="str">
            <v>SSCCH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AC46" t="str">
            <v>SSCCH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G47" t="str">
            <v>SSECH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AC47" t="str">
            <v>SSECH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G48" t="str">
            <v>SSGCH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AC48" t="str">
            <v>SSGCH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AC52" t="str">
            <v>SSGCT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G53" t="str">
            <v>MC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AC53" t="str">
            <v>MC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G54" t="str">
            <v>SNPD</v>
          </cell>
          <cell r="J54">
            <v>1.0000000000000002</v>
          </cell>
          <cell r="K54">
            <v>3.2166307106155832E-2</v>
          </cell>
          <cell r="L54">
            <v>0.26470984033703582</v>
          </cell>
          <cell r="M54">
            <v>6.4409240866138473E-2</v>
          </cell>
          <cell r="N54">
            <v>0</v>
          </cell>
          <cell r="O54">
            <v>8.6741009258897703E-2</v>
          </cell>
          <cell r="P54">
            <v>0.48367181064876774</v>
          </cell>
          <cell r="Q54">
            <v>4.9853957001342805E-2</v>
          </cell>
          <cell r="R54">
            <v>1.8447834781661555E-2</v>
          </cell>
          <cell r="S54">
            <v>0</v>
          </cell>
          <cell r="AC54" t="str">
            <v>SNPD</v>
          </cell>
          <cell r="AF54">
            <v>1.0000000000000002</v>
          </cell>
          <cell r="AG54">
            <v>3.2166307106155832E-2</v>
          </cell>
          <cell r="AH54">
            <v>0.26470984033703582</v>
          </cell>
          <cell r="AI54">
            <v>6.4409240866138473E-2</v>
          </cell>
          <cell r="AJ54">
            <v>0</v>
          </cell>
          <cell r="AK54">
            <v>8.6741009258897703E-2</v>
          </cell>
          <cell r="AL54">
            <v>0.48367181064876774</v>
          </cell>
          <cell r="AM54">
            <v>4.9853957001342805E-2</v>
          </cell>
          <cell r="AN54">
            <v>1.8447834781661555E-2</v>
          </cell>
          <cell r="AO54">
            <v>0</v>
          </cell>
        </row>
        <row r="55">
          <cell r="G55" t="str">
            <v>CAGW</v>
          </cell>
          <cell r="J55">
            <v>1</v>
          </cell>
          <cell r="K55">
            <v>4.0221393563250663E-2</v>
          </cell>
          <cell r="L55">
            <v>0.74400667887033378</v>
          </cell>
          <cell r="M55">
            <v>0.21577192756641544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AC55" t="str">
            <v>CAGW</v>
          </cell>
          <cell r="AF55">
            <v>1</v>
          </cell>
          <cell r="AG55">
            <v>4.0221393563250663E-2</v>
          </cell>
          <cell r="AH55">
            <v>0.74400667887033378</v>
          </cell>
          <cell r="AI55">
            <v>0.21577192756641544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G56" t="str">
            <v>CAGE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0.19192634182345286</v>
          </cell>
          <cell r="P56">
            <v>0.679585064906573</v>
          </cell>
          <cell r="Q56">
            <v>9.1819868374911212E-2</v>
          </cell>
          <cell r="R56">
            <v>3.6154368542928278E-2</v>
          </cell>
          <cell r="S56">
            <v>5.1435635213454743E-4</v>
          </cell>
          <cell r="AC56" t="str">
            <v>CAGE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0.19192634182345286</v>
          </cell>
          <cell r="AL56">
            <v>0.679585064906573</v>
          </cell>
          <cell r="AM56">
            <v>9.1819868374911212E-2</v>
          </cell>
          <cell r="AN56">
            <v>3.6154368542928278E-2</v>
          </cell>
          <cell r="AO56">
            <v>5.1435635213454743E-4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0.99999999999999978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0.20895512702142133</v>
          </cell>
          <cell r="P58">
            <v>0.65381720439736279</v>
          </cell>
          <cell r="Q58">
            <v>9.6166066298163225E-2</v>
          </cell>
          <cell r="R58">
            <v>4.0559815276871129E-2</v>
          </cell>
          <cell r="S58">
            <v>5.017870061816811E-4</v>
          </cell>
          <cell r="AC58" t="str">
            <v>DNPGMU</v>
          </cell>
          <cell r="AF58">
            <v>0.99999999999999978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0.20895512702142133</v>
          </cell>
          <cell r="AL58">
            <v>0.65381720439736279</v>
          </cell>
          <cell r="AM58">
            <v>9.6166066298163225E-2</v>
          </cell>
          <cell r="AN58">
            <v>4.0559815276871129E-2</v>
          </cell>
          <cell r="AO58">
            <v>5.017870061816811E-4</v>
          </cell>
        </row>
        <row r="59">
          <cell r="G59" t="str">
            <v>JBG</v>
          </cell>
          <cell r="J59">
            <v>0.99999999999999978</v>
          </cell>
          <cell r="K59">
            <v>4.0221393563250663E-2</v>
          </cell>
          <cell r="L59">
            <v>0.74400667887033378</v>
          </cell>
          <cell r="M59">
            <v>0.21577192756641544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JBG</v>
          </cell>
          <cell r="AF59">
            <v>0.99999999999999978</v>
          </cell>
          <cell r="AG59">
            <v>4.0221393563250663E-2</v>
          </cell>
          <cell r="AH59">
            <v>0.74400667887033378</v>
          </cell>
          <cell r="AI59">
            <v>0.21577192756641544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JBE</v>
          </cell>
          <cell r="J60">
            <v>1</v>
          </cell>
          <cell r="K60">
            <v>4.2316453873570276E-2</v>
          </cell>
          <cell r="L60">
            <v>0.73176780343328052</v>
          </cell>
          <cell r="M60">
            <v>0.22591574269314921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JBE</v>
          </cell>
          <cell r="AF60">
            <v>1</v>
          </cell>
          <cell r="AG60">
            <v>4.2316453873570276E-2</v>
          </cell>
          <cell r="AH60">
            <v>0.73176780343328052</v>
          </cell>
          <cell r="AI60">
            <v>0.22591574269314921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WRG</v>
          </cell>
          <cell r="J61">
            <v>0.99999999999999978</v>
          </cell>
          <cell r="K61">
            <v>8.9691890981651486E-3</v>
          </cell>
          <cell r="L61">
            <v>0.1659101289613929</v>
          </cell>
          <cell r="M61">
            <v>4.8116165278445512E-2</v>
          </cell>
          <cell r="N61">
            <v>0</v>
          </cell>
          <cell r="O61">
            <v>0.14912763446323704</v>
          </cell>
          <cell r="P61">
            <v>0.52804066488844303</v>
          </cell>
          <cell r="Q61">
            <v>7.1344452446615983E-2</v>
          </cell>
          <cell r="R61">
            <v>2.8092107654917663E-2</v>
          </cell>
          <cell r="S61">
            <v>3.9965720878233147E-4</v>
          </cell>
          <cell r="AC61" t="str">
            <v>WRG</v>
          </cell>
          <cell r="AF61">
            <v>0.99999999999999978</v>
          </cell>
          <cell r="AG61">
            <v>8.9691890981651486E-3</v>
          </cell>
          <cell r="AH61">
            <v>0.1659101289613929</v>
          </cell>
          <cell r="AI61">
            <v>4.8116165278445512E-2</v>
          </cell>
          <cell r="AJ61">
            <v>0</v>
          </cell>
          <cell r="AK61">
            <v>0.14912763446323704</v>
          </cell>
          <cell r="AL61">
            <v>0.52804066488844303</v>
          </cell>
          <cell r="AM61">
            <v>7.1344452446615983E-2</v>
          </cell>
          <cell r="AN61">
            <v>2.8092107654917663E-2</v>
          </cell>
          <cell r="AO61">
            <v>3.9965720878233147E-4</v>
          </cell>
        </row>
        <row r="62">
          <cell r="G62" t="str">
            <v>WRE</v>
          </cell>
          <cell r="J62">
            <v>0.99999999999999978</v>
          </cell>
          <cell r="K62">
            <v>9.436378084687138E-3</v>
          </cell>
          <cell r="L62">
            <v>0.16318091501779358</v>
          </cell>
          <cell r="M62">
            <v>5.0378190235522861E-2</v>
          </cell>
          <cell r="N62">
            <v>0</v>
          </cell>
          <cell r="O62">
            <v>0.16235907747532549</v>
          </cell>
          <cell r="P62">
            <v>0.50801892088807044</v>
          </cell>
          <cell r="Q62">
            <v>7.4721467863289787E-2</v>
          </cell>
          <cell r="R62">
            <v>3.1515159665105097E-2</v>
          </cell>
          <cell r="S62">
            <v>3.8989077020546716E-4</v>
          </cell>
          <cell r="AC62" t="str">
            <v>WRE</v>
          </cell>
          <cell r="AF62">
            <v>0.99999999999999978</v>
          </cell>
          <cell r="AG62">
            <v>9.436378084687138E-3</v>
          </cell>
          <cell r="AH62">
            <v>0.16318091501779358</v>
          </cell>
          <cell r="AI62">
            <v>5.0378190235522861E-2</v>
          </cell>
          <cell r="AJ62">
            <v>0</v>
          </cell>
          <cell r="AK62">
            <v>0.16235907747532549</v>
          </cell>
          <cell r="AL62">
            <v>0.50801892088807044</v>
          </cell>
          <cell r="AM62">
            <v>7.4721467863289787E-2</v>
          </cell>
          <cell r="AN62">
            <v>3.1515159665105097E-2</v>
          </cell>
          <cell r="AO62">
            <v>3.8989077020546716E-4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1.0000000000000002</v>
          </cell>
          <cell r="K65">
            <v>3.3487134562208407E-2</v>
          </cell>
          <cell r="L65">
            <v>0.61943780568748308</v>
          </cell>
          <cell r="M65">
            <v>0.17964528160370571</v>
          </cell>
          <cell r="N65">
            <v>0</v>
          </cell>
          <cell r="O65">
            <v>3.1210166242483711E-2</v>
          </cell>
          <cell r="P65">
            <v>0.11051095253591414</v>
          </cell>
          <cell r="Q65">
            <v>1.4931318593984532E-2</v>
          </cell>
          <cell r="R65">
            <v>5.8792547281226303E-3</v>
          </cell>
          <cell r="S65">
            <v>8.3642230167464525E-5</v>
          </cell>
          <cell r="T65">
            <v>4.8144438159304749E-3</v>
          </cell>
          <cell r="AC65" t="str">
            <v>SNPPH-P</v>
          </cell>
          <cell r="AF65">
            <v>1.0000000000000002</v>
          </cell>
          <cell r="AG65">
            <v>3.3487134562208407E-2</v>
          </cell>
          <cell r="AH65">
            <v>0.61943780568748308</v>
          </cell>
          <cell r="AI65">
            <v>0.17964528160370571</v>
          </cell>
          <cell r="AJ65">
            <v>0</v>
          </cell>
          <cell r="AK65">
            <v>3.1210166242483711E-2</v>
          </cell>
          <cell r="AL65">
            <v>0.11051095253591414</v>
          </cell>
          <cell r="AM65">
            <v>1.4931318593984532E-2</v>
          </cell>
          <cell r="AN65">
            <v>5.8792547281226303E-3</v>
          </cell>
          <cell r="AO65">
            <v>8.3642230167464525E-5</v>
          </cell>
          <cell r="AP65">
            <v>4.8144438159304749E-3</v>
          </cell>
          <cell r="AQ65">
            <v>0</v>
          </cell>
        </row>
        <row r="66">
          <cell r="G66" t="str">
            <v>SNPPH-U</v>
          </cell>
          <cell r="J66">
            <v>1.0000000000000002</v>
          </cell>
          <cell r="K66">
            <v>3.3487134562208407E-2</v>
          </cell>
          <cell r="L66">
            <v>0.61943780568748308</v>
          </cell>
          <cell r="M66">
            <v>0.17964528160370571</v>
          </cell>
          <cell r="N66">
            <v>0</v>
          </cell>
          <cell r="O66">
            <v>3.1210166242483711E-2</v>
          </cell>
          <cell r="P66">
            <v>0.11051095253591414</v>
          </cell>
          <cell r="Q66">
            <v>1.4931318593984532E-2</v>
          </cell>
          <cell r="R66">
            <v>5.8792547281226303E-3</v>
          </cell>
          <cell r="S66">
            <v>8.3642230167464525E-5</v>
          </cell>
          <cell r="T66">
            <v>4.8144438159304749E-3</v>
          </cell>
          <cell r="AC66" t="str">
            <v>SNPPH-U</v>
          </cell>
          <cell r="AF66">
            <v>1.0000000000000002</v>
          </cell>
          <cell r="AG66">
            <v>3.3487134562208407E-2</v>
          </cell>
          <cell r="AH66">
            <v>0.61943780568748308</v>
          </cell>
          <cell r="AI66">
            <v>0.17964528160370571</v>
          </cell>
          <cell r="AJ66">
            <v>0</v>
          </cell>
          <cell r="AK66">
            <v>3.1210166242483711E-2</v>
          </cell>
          <cell r="AL66">
            <v>0.11051095253591414</v>
          </cell>
          <cell r="AM66">
            <v>1.4931318593984532E-2</v>
          </cell>
          <cell r="AN66">
            <v>5.8792547281226303E-3</v>
          </cell>
          <cell r="AO66">
            <v>8.3642230167464525E-5</v>
          </cell>
          <cell r="AP66">
            <v>4.8144438159304749E-3</v>
          </cell>
          <cell r="AQ66">
            <v>0</v>
          </cell>
        </row>
        <row r="67">
          <cell r="G67" t="str">
            <v>CN</v>
          </cell>
          <cell r="J67">
            <v>0.99999999999999989</v>
          </cell>
          <cell r="K67">
            <v>2.396572337770236E-2</v>
          </cell>
          <cell r="L67">
            <v>0.31217058907402434</v>
          </cell>
          <cell r="M67">
            <v>6.9360885492844845E-2</v>
          </cell>
          <cell r="N67">
            <v>0</v>
          </cell>
          <cell r="O67">
            <v>6.5978668808283791E-2</v>
          </cell>
          <cell r="P67">
            <v>0.47825390355568564</v>
          </cell>
          <cell r="Q67">
            <v>4.2022014386386891E-2</v>
          </cell>
          <cell r="R67">
            <v>8.2482153050721166E-3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0.99999999999999989</v>
          </cell>
          <cell r="AG67">
            <v>2.396572337770236E-2</v>
          </cell>
          <cell r="AH67">
            <v>0.31217058907402434</v>
          </cell>
          <cell r="AI67">
            <v>6.9360885492844845E-2</v>
          </cell>
          <cell r="AJ67">
            <v>0</v>
          </cell>
          <cell r="AK67">
            <v>6.5978668808283791E-2</v>
          </cell>
          <cell r="AL67">
            <v>0.47825390355568564</v>
          </cell>
          <cell r="AM67">
            <v>4.2022014386386891E-2</v>
          </cell>
          <cell r="AN67">
            <v>8.2482153050721166E-3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0.99999999999999978</v>
          </cell>
          <cell r="K68">
            <v>5.083128335445649E-2</v>
          </cell>
          <cell r="L68">
            <v>0.66211361193098395</v>
          </cell>
          <cell r="M68">
            <v>0.14711439202720292</v>
          </cell>
          <cell r="N68">
            <v>0</v>
          </cell>
          <cell r="O68">
            <v>0.13994071268735667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0.99999999999999978</v>
          </cell>
          <cell r="AG68">
            <v>5.083128335445649E-2</v>
          </cell>
          <cell r="AH68">
            <v>0.66211361193098395</v>
          </cell>
          <cell r="AI68">
            <v>0.14711439202720292</v>
          </cell>
          <cell r="AJ68">
            <v>0</v>
          </cell>
          <cell r="AK68">
            <v>0.13994071268735667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0.90488564943551597</v>
          </cell>
          <cell r="Q69">
            <v>7.9508222506723E-2</v>
          </cell>
          <cell r="R69">
            <v>1.5606128057761072E-2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0.90488564943551597</v>
          </cell>
          <cell r="AM69">
            <v>7.9508222506723E-2</v>
          </cell>
          <cell r="AN69">
            <v>1.5606128057761072E-2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</v>
          </cell>
          <cell r="K73">
            <v>1.3874977903861996E-2</v>
          </cell>
          <cell r="L73">
            <v>0.15872363467254166</v>
          </cell>
          <cell r="M73">
            <v>4.0740955868625077E-2</v>
          </cell>
          <cell r="N73">
            <v>0</v>
          </cell>
          <cell r="O73">
            <v>0.14963099637243304</v>
          </cell>
          <cell r="P73">
            <v>0.51776572673074961</v>
          </cell>
          <cell r="Q73">
            <v>7.5896627518864127E-2</v>
          </cell>
          <cell r="R73">
            <v>3.4471337480087634E-2</v>
          </cell>
          <cell r="S73">
            <v>5.8567825391078569E-3</v>
          </cell>
          <cell r="T73">
            <v>6.2142354373644296E-3</v>
          </cell>
          <cell r="U73">
            <v>-3.1752745236352793E-3</v>
          </cell>
          <cell r="AC73" t="str">
            <v>EXCTAX</v>
          </cell>
          <cell r="AF73">
            <v>0</v>
          </cell>
          <cell r="AG73">
            <v>1.3874977903861996E-2</v>
          </cell>
          <cell r="AH73">
            <v>0.15872363467254166</v>
          </cell>
          <cell r="AI73">
            <v>4.0740955868625077E-2</v>
          </cell>
          <cell r="AJ73">
            <v>0</v>
          </cell>
          <cell r="AK73">
            <v>0.14963099637243304</v>
          </cell>
          <cell r="AL73">
            <v>0.51776572673074961</v>
          </cell>
          <cell r="AM73">
            <v>7.5896627518864127E-2</v>
          </cell>
          <cell r="AN73">
            <v>3.4471337480087634E-2</v>
          </cell>
          <cell r="AO73">
            <v>5.8567825391078569E-3</v>
          </cell>
          <cell r="AP73">
            <v>6.2142354373644296E-3</v>
          </cell>
          <cell r="AQ73">
            <v>-3.1752745236352793E-3</v>
          </cell>
        </row>
        <row r="74">
          <cell r="G74" t="str">
            <v>INT</v>
          </cell>
          <cell r="J74">
            <v>0.99999999999999989</v>
          </cell>
          <cell r="K74">
            <v>1.6705365975130095E-2</v>
          </cell>
          <cell r="L74">
            <v>0.22278222719612598</v>
          </cell>
          <cell r="M74">
            <v>6.0894111271351227E-2</v>
          </cell>
          <cell r="N74">
            <v>0</v>
          </cell>
          <cell r="O74">
            <v>0.12592571023280555</v>
          </cell>
          <cell r="P74">
            <v>0.48639154643210392</v>
          </cell>
          <cell r="Q74">
            <v>6.2591295688628978E-2</v>
          </cell>
          <cell r="R74">
            <v>2.4261908688767559E-2</v>
          </cell>
          <cell r="S74">
            <v>2.7190771167417228E-4</v>
          </cell>
          <cell r="T74">
            <v>1.7592680341238073E-4</v>
          </cell>
          <cell r="U74">
            <v>0</v>
          </cell>
          <cell r="AC74" t="str">
            <v>INT</v>
          </cell>
          <cell r="AF74">
            <v>0.99999999999999989</v>
          </cell>
          <cell r="AG74">
            <v>1.6705365975130095E-2</v>
          </cell>
          <cell r="AH74">
            <v>0.22278222719612598</v>
          </cell>
          <cell r="AI74">
            <v>6.0894111271351227E-2</v>
          </cell>
          <cell r="AJ74">
            <v>0</v>
          </cell>
          <cell r="AK74">
            <v>0.12592571023280558</v>
          </cell>
          <cell r="AL74">
            <v>0.48639154643210392</v>
          </cell>
          <cell r="AM74">
            <v>6.2591295688628978E-2</v>
          </cell>
          <cell r="AN74">
            <v>2.4261908688767559E-2</v>
          </cell>
          <cell r="AO74">
            <v>2.7190771167417228E-4</v>
          </cell>
          <cell r="AP74">
            <v>1.7592680341238073E-4</v>
          </cell>
          <cell r="AQ74">
            <v>0</v>
          </cell>
        </row>
        <row r="75">
          <cell r="G75" t="str">
            <v>CIAC</v>
          </cell>
          <cell r="J75">
            <v>1.0000000000000002</v>
          </cell>
          <cell r="K75">
            <v>3.2166307106155832E-2</v>
          </cell>
          <cell r="L75">
            <v>0.26470984033703582</v>
          </cell>
          <cell r="M75">
            <v>6.4409240866138473E-2</v>
          </cell>
          <cell r="N75">
            <v>0</v>
          </cell>
          <cell r="O75">
            <v>8.6741009258897689E-2</v>
          </cell>
          <cell r="P75">
            <v>0.48367181064876774</v>
          </cell>
          <cell r="Q75">
            <v>4.9853957001342805E-2</v>
          </cell>
          <cell r="R75">
            <v>1.8447834781661555E-2</v>
          </cell>
          <cell r="S75">
            <v>0</v>
          </cell>
          <cell r="AC75" t="str">
            <v>CIAC</v>
          </cell>
          <cell r="AF75">
            <v>1.0000000000000002</v>
          </cell>
          <cell r="AG75">
            <v>3.2166307106155832E-2</v>
          </cell>
          <cell r="AH75">
            <v>0.26470984033703582</v>
          </cell>
          <cell r="AI75">
            <v>6.4409240866138473E-2</v>
          </cell>
          <cell r="AJ75">
            <v>0</v>
          </cell>
          <cell r="AK75">
            <v>8.6741009258897689E-2</v>
          </cell>
          <cell r="AL75">
            <v>0.48367181064876774</v>
          </cell>
          <cell r="AM75">
            <v>4.9853957001342805E-2</v>
          </cell>
          <cell r="AN75">
            <v>1.8447834781661555E-2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1.0000000000000002</v>
          </cell>
          <cell r="K78">
            <v>5.5011454122182536E-2</v>
          </cell>
          <cell r="L78">
            <v>0.34872248339810336</v>
          </cell>
          <cell r="M78">
            <v>0.12556621707988092</v>
          </cell>
          <cell r="N78">
            <v>0</v>
          </cell>
          <cell r="O78">
            <v>7.4769806884131054E-2</v>
          </cell>
          <cell r="P78">
            <v>0.3418724940531348</v>
          </cell>
          <cell r="Q78">
            <v>5.4017764035344577E-2</v>
          </cell>
          <cell r="R78">
            <v>3.9780427222696797E-5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1.0000000000000002</v>
          </cell>
          <cell r="AG78">
            <v>5.5011454122182536E-2</v>
          </cell>
          <cell r="AH78">
            <v>0.34872248339810336</v>
          </cell>
          <cell r="AI78">
            <v>0.12556621707988092</v>
          </cell>
          <cell r="AJ78">
            <v>0</v>
          </cell>
          <cell r="AK78">
            <v>7.4769806884131054E-2</v>
          </cell>
          <cell r="AL78">
            <v>0.3418724940531348</v>
          </cell>
          <cell r="AM78">
            <v>5.4017764035344577E-2</v>
          </cell>
          <cell r="AN78">
            <v>3.9780427222696797E-5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1</v>
          </cell>
          <cell r="K89">
            <v>9.2827431943933655E-3</v>
          </cell>
          <cell r="L89">
            <v>0.1716191589800608</v>
          </cell>
          <cell r="M89">
            <v>4.9827084109064168E-2</v>
          </cell>
          <cell r="N89">
            <v>0</v>
          </cell>
          <cell r="O89">
            <v>0.14740067855545069</v>
          </cell>
          <cell r="P89">
            <v>0.52307565192397243</v>
          </cell>
          <cell r="Q89">
            <v>7.0675419200088074E-2</v>
          </cell>
          <cell r="R89">
            <v>2.7724922645441904E-2</v>
          </cell>
          <cell r="S89">
            <v>3.943413915286341E-4</v>
          </cell>
          <cell r="AC89" t="str">
            <v>SNPPS</v>
          </cell>
          <cell r="AF89">
            <v>1</v>
          </cell>
          <cell r="AG89">
            <v>9.2827431943933655E-3</v>
          </cell>
          <cell r="AH89">
            <v>0.1716191589800608</v>
          </cell>
          <cell r="AI89">
            <v>4.9827084109064168E-2</v>
          </cell>
          <cell r="AJ89">
            <v>0</v>
          </cell>
          <cell r="AK89">
            <v>0.14740067855545069</v>
          </cell>
          <cell r="AL89">
            <v>0.52307565192397243</v>
          </cell>
          <cell r="AM89">
            <v>7.0675419200088074E-2</v>
          </cell>
          <cell r="AN89">
            <v>2.7724922645441904E-2</v>
          </cell>
          <cell r="AO89">
            <v>3.943413915286341E-4</v>
          </cell>
        </row>
        <row r="90">
          <cell r="G90" t="str">
            <v>SNPT</v>
          </cell>
          <cell r="J90">
            <v>0.99999999999999978</v>
          </cell>
          <cell r="K90">
            <v>8.9693077694424812E-3</v>
          </cell>
          <cell r="L90">
            <v>0.16590800640307785</v>
          </cell>
          <cell r="M90">
            <v>4.8118169165483254E-2</v>
          </cell>
          <cell r="N90">
            <v>0</v>
          </cell>
          <cell r="O90">
            <v>0.14912882083135853</v>
          </cell>
          <cell r="P90">
            <v>0.52803936520485562</v>
          </cell>
          <cell r="Q90">
            <v>7.1344039783936136E-2</v>
          </cell>
          <cell r="R90">
            <v>2.8092630557637679E-2</v>
          </cell>
          <cell r="S90">
            <v>3.9966028420816105E-4</v>
          </cell>
          <cell r="AC90" t="str">
            <v>SNPT</v>
          </cell>
          <cell r="AF90">
            <v>0.99999999999999978</v>
          </cell>
          <cell r="AG90">
            <v>8.9693077694424812E-3</v>
          </cell>
          <cell r="AH90">
            <v>0.16590800640307785</v>
          </cell>
          <cell r="AI90">
            <v>4.8118169165483254E-2</v>
          </cell>
          <cell r="AJ90">
            <v>0</v>
          </cell>
          <cell r="AK90">
            <v>0.14912882083135853</v>
          </cell>
          <cell r="AL90">
            <v>0.52803936520485562</v>
          </cell>
          <cell r="AM90">
            <v>7.1344039783936136E-2</v>
          </cell>
          <cell r="AN90">
            <v>2.8092630557637679E-2</v>
          </cell>
          <cell r="AO90">
            <v>3.9966028420816105E-4</v>
          </cell>
        </row>
        <row r="91">
          <cell r="G91" t="str">
            <v>SNPP</v>
          </cell>
          <cell r="J91">
            <v>1</v>
          </cell>
          <cell r="K91">
            <v>1.1965087296786704E-2</v>
          </cell>
          <cell r="L91">
            <v>0.2212882155221515</v>
          </cell>
          <cell r="M91">
            <v>6.4203549994526515E-2</v>
          </cell>
          <cell r="N91">
            <v>0</v>
          </cell>
          <cell r="O91">
            <v>0.13462849462265625</v>
          </cell>
          <cell r="P91">
            <v>0.47732237320745458</v>
          </cell>
          <cell r="Q91">
            <v>6.4492790956904425E-2</v>
          </cell>
          <cell r="R91">
            <v>2.533819649212541E-2</v>
          </cell>
          <cell r="S91">
            <v>3.6042851975264932E-4</v>
          </cell>
          <cell r="T91">
            <v>4.0086338764181421E-4</v>
          </cell>
          <cell r="AC91" t="str">
            <v>SNPP</v>
          </cell>
          <cell r="AF91">
            <v>1</v>
          </cell>
          <cell r="AG91">
            <v>1.1965087296786704E-2</v>
          </cell>
          <cell r="AH91">
            <v>0.2212882155221515</v>
          </cell>
          <cell r="AI91">
            <v>6.4203549994526515E-2</v>
          </cell>
          <cell r="AJ91">
            <v>0</v>
          </cell>
          <cell r="AK91">
            <v>0.13462849462265628</v>
          </cell>
          <cell r="AL91">
            <v>0.47732237320745458</v>
          </cell>
          <cell r="AM91">
            <v>6.4492790956904425E-2</v>
          </cell>
          <cell r="AN91">
            <v>2.533819649212541E-2</v>
          </cell>
          <cell r="AO91">
            <v>3.6042851975264932E-4</v>
          </cell>
          <cell r="AP91">
            <v>4.0086338764181421E-4</v>
          </cell>
        </row>
        <row r="92">
          <cell r="G92" t="str">
            <v>SNPPH</v>
          </cell>
          <cell r="J92">
            <v>1.0000000000000002</v>
          </cell>
          <cell r="K92">
            <v>3.3487134562208407E-2</v>
          </cell>
          <cell r="L92">
            <v>0.61943780568748308</v>
          </cell>
          <cell r="M92">
            <v>0.17964528160370571</v>
          </cell>
          <cell r="N92">
            <v>0</v>
          </cell>
          <cell r="O92">
            <v>3.1210166242483711E-2</v>
          </cell>
          <cell r="P92">
            <v>0.11051095253591414</v>
          </cell>
          <cell r="Q92">
            <v>1.4931318593984532E-2</v>
          </cell>
          <cell r="R92">
            <v>5.8792547281226303E-3</v>
          </cell>
          <cell r="S92">
            <v>8.3642230167464525E-5</v>
          </cell>
          <cell r="T92">
            <v>4.8144438159304749E-3</v>
          </cell>
          <cell r="AC92" t="str">
            <v>SNPPH</v>
          </cell>
          <cell r="AF92">
            <v>1.0000000000000002</v>
          </cell>
          <cell r="AG92">
            <v>3.3487134562208407E-2</v>
          </cell>
          <cell r="AH92">
            <v>0.61943780568748308</v>
          </cell>
          <cell r="AI92">
            <v>0.17964528160370571</v>
          </cell>
          <cell r="AJ92">
            <v>0</v>
          </cell>
          <cell r="AK92">
            <v>3.1210166242483711E-2</v>
          </cell>
          <cell r="AL92">
            <v>0.11051095253591414</v>
          </cell>
          <cell r="AM92">
            <v>1.4931318593984532E-2</v>
          </cell>
          <cell r="AN92">
            <v>5.8792547281226303E-3</v>
          </cell>
          <cell r="AO92">
            <v>8.3642230167464525E-5</v>
          </cell>
          <cell r="AP92">
            <v>4.8144438159304749E-3</v>
          </cell>
        </row>
        <row r="93">
          <cell r="G93" t="str">
            <v>SNPPN</v>
          </cell>
          <cell r="J93">
            <v>1</v>
          </cell>
          <cell r="K93">
            <v>4.0221393563250663E-2</v>
          </cell>
          <cell r="L93">
            <v>0.74400667887033367</v>
          </cell>
          <cell r="M93">
            <v>0.21577192756641544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AC93" t="str">
            <v>SNPPN</v>
          </cell>
          <cell r="AF93">
            <v>1</v>
          </cell>
          <cell r="AG93">
            <v>4.0221393563250663E-2</v>
          </cell>
          <cell r="AH93">
            <v>0.74400667887033367</v>
          </cell>
          <cell r="AI93">
            <v>0.21577192756641544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G94" t="str">
            <v>SNPPO</v>
          </cell>
          <cell r="J94">
            <v>0.99999999999999989</v>
          </cell>
          <cell r="K94">
            <v>1.105425706511546E-2</v>
          </cell>
          <cell r="L94">
            <v>0.20450524149826391</v>
          </cell>
          <cell r="M94">
            <v>5.9301733317712012E-2</v>
          </cell>
          <cell r="N94">
            <v>0</v>
          </cell>
          <cell r="O94">
            <v>0.13917323107942714</v>
          </cell>
          <cell r="P94">
            <v>0.49279347679836072</v>
          </cell>
          <cell r="Q94">
            <v>6.6582146242223417E-2</v>
          </cell>
          <cell r="R94">
            <v>2.6216934267336022E-2</v>
          </cell>
          <cell r="S94">
            <v>3.7297973156098118E-4</v>
          </cell>
          <cell r="AC94" t="str">
            <v>SNPPO</v>
          </cell>
          <cell r="AF94">
            <v>0.99999999999999989</v>
          </cell>
          <cell r="AG94">
            <v>1.105425706511546E-2</v>
          </cell>
          <cell r="AH94">
            <v>0.20450524149826391</v>
          </cell>
          <cell r="AI94">
            <v>5.9301733317712012E-2</v>
          </cell>
          <cell r="AJ94">
            <v>0</v>
          </cell>
          <cell r="AK94">
            <v>0.13917323107942714</v>
          </cell>
          <cell r="AL94">
            <v>0.49279347679836072</v>
          </cell>
          <cell r="AM94">
            <v>6.6582146242223417E-2</v>
          </cell>
          <cell r="AN94">
            <v>2.6216934267336022E-2</v>
          </cell>
          <cell r="AO94">
            <v>3.7297973156098118E-4</v>
          </cell>
        </row>
        <row r="95">
          <cell r="G95" t="str">
            <v>SNPG</v>
          </cell>
          <cell r="J95">
            <v>0.99999999999999944</v>
          </cell>
          <cell r="K95">
            <v>2.2792399203356368E-2</v>
          </cell>
          <cell r="L95">
            <v>0.27474108592549329</v>
          </cell>
          <cell r="M95">
            <v>6.2565290984046798E-2</v>
          </cell>
          <cell r="N95">
            <v>0</v>
          </cell>
          <cell r="O95">
            <v>0.12776204274480954</v>
          </cell>
          <cell r="P95">
            <v>0.41899523261387844</v>
          </cell>
          <cell r="Q95">
            <v>6.6385243191750973E-2</v>
          </cell>
          <cell r="R95">
            <v>2.660887723850535E-2</v>
          </cell>
          <cell r="S95">
            <v>1.4982809815916639E-4</v>
          </cell>
          <cell r="AC95" t="str">
            <v>SNPG</v>
          </cell>
          <cell r="AF95">
            <v>0.99999999999999944</v>
          </cell>
          <cell r="AG95">
            <v>2.2792399203356368E-2</v>
          </cell>
          <cell r="AH95">
            <v>0.27474108592549329</v>
          </cell>
          <cell r="AI95">
            <v>6.2565290984046798E-2</v>
          </cell>
          <cell r="AJ95">
            <v>0</v>
          </cell>
          <cell r="AK95">
            <v>0.12776204274480954</v>
          </cell>
          <cell r="AL95">
            <v>0.41899523261387844</v>
          </cell>
          <cell r="AM95">
            <v>6.6385243191750973E-2</v>
          </cell>
          <cell r="AN95">
            <v>2.660887723850535E-2</v>
          </cell>
          <cell r="AO95">
            <v>1.4982809815916639E-4</v>
          </cell>
        </row>
        <row r="96">
          <cell r="G96" t="str">
            <v>SNPI</v>
          </cell>
          <cell r="J96">
            <v>0.99999999999999978</v>
          </cell>
          <cell r="K96">
            <v>2.4793948374876838E-2</v>
          </cell>
          <cell r="L96">
            <v>0.39652666177384771</v>
          </cell>
          <cell r="M96">
            <v>0.11327008566237556</v>
          </cell>
          <cell r="N96">
            <v>0</v>
          </cell>
          <cell r="O96">
            <v>9.192505346131874E-2</v>
          </cell>
          <cell r="P96">
            <v>0.3105939630944653</v>
          </cell>
          <cell r="Q96">
            <v>4.8837031882668747E-2</v>
          </cell>
          <cell r="R96">
            <v>1.3892873452761889E-2</v>
          </cell>
          <cell r="S96">
            <v>1.6038229768481079E-4</v>
          </cell>
          <cell r="AC96" t="str">
            <v>SNPI</v>
          </cell>
          <cell r="AF96">
            <v>0.99999999999999978</v>
          </cell>
          <cell r="AG96">
            <v>2.4793948374876838E-2</v>
          </cell>
          <cell r="AH96">
            <v>0.39652666177384771</v>
          </cell>
          <cell r="AI96">
            <v>0.11327008566237556</v>
          </cell>
          <cell r="AJ96">
            <v>0</v>
          </cell>
          <cell r="AK96">
            <v>9.192505346131874E-2</v>
          </cell>
          <cell r="AL96">
            <v>0.31059396309446513</v>
          </cell>
          <cell r="AM96">
            <v>4.8837031882668747E-2</v>
          </cell>
          <cell r="AN96">
            <v>1.3892873452761882E-2</v>
          </cell>
          <cell r="AO96">
            <v>1.6038229768481079E-4</v>
          </cell>
        </row>
        <row r="97">
          <cell r="G97" t="str">
            <v>TROJP</v>
          </cell>
          <cell r="J97">
            <v>0.99999999999999989</v>
          </cell>
          <cell r="K97">
            <v>4.0539649258152538E-2</v>
          </cell>
          <cell r="L97">
            <v>0.74214750002576757</v>
          </cell>
          <cell r="M97">
            <v>0.21731285071607995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AC97" t="str">
            <v>TROJP</v>
          </cell>
          <cell r="AF97">
            <v>0.99999999999999989</v>
          </cell>
          <cell r="AG97">
            <v>4.0539649258152538E-2</v>
          </cell>
          <cell r="AH97">
            <v>0.74214750002576757</v>
          </cell>
          <cell r="AI97">
            <v>0.21731285071607995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</row>
        <row r="98">
          <cell r="G98" t="str">
            <v>TROJD</v>
          </cell>
          <cell r="J98">
            <v>1</v>
          </cell>
          <cell r="K98">
            <v>4.0595859645838228E-2</v>
          </cell>
          <cell r="L98">
            <v>0.74181913146770495</v>
          </cell>
          <cell r="M98">
            <v>0.21758500888645674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AC98" t="str">
            <v>TROJD</v>
          </cell>
          <cell r="AF98">
            <v>1</v>
          </cell>
          <cell r="AG98">
            <v>4.0595859645838228E-2</v>
          </cell>
          <cell r="AH98">
            <v>0.74181913146770495</v>
          </cell>
          <cell r="AI98">
            <v>0.21758500888645674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</row>
        <row r="99">
          <cell r="G99" t="str">
            <v>IBT</v>
          </cell>
          <cell r="J99">
            <v>0</v>
          </cell>
          <cell r="K99">
            <v>1.4823981689935784E-2</v>
          </cell>
          <cell r="L99">
            <v>0.16849630383974351</v>
          </cell>
          <cell r="M99">
            <v>0</v>
          </cell>
          <cell r="N99">
            <v>0</v>
          </cell>
          <cell r="O99">
            <v>0.15645116753996891</v>
          </cell>
          <cell r="P99">
            <v>0.53700796240705384</v>
          </cell>
          <cell r="Q99">
            <v>7.8819266065810203E-2</v>
          </cell>
          <cell r="R99">
            <v>3.510162474235367E-2</v>
          </cell>
          <cell r="S99">
            <v>6.1075775455278003E-3</v>
          </cell>
          <cell r="T99">
            <v>6.4978669787290021E-3</v>
          </cell>
          <cell r="U99">
            <v>-3.3057508091226808E-3</v>
          </cell>
          <cell r="AC99" t="str">
            <v>IBT</v>
          </cell>
          <cell r="AF99">
            <v>0</v>
          </cell>
          <cell r="AG99">
            <v>1.4823981689935784E-2</v>
          </cell>
          <cell r="AH99">
            <v>0.16849630383974351</v>
          </cell>
          <cell r="AI99">
            <v>0</v>
          </cell>
          <cell r="AJ99">
            <v>0</v>
          </cell>
          <cell r="AK99">
            <v>0.15645116753996891</v>
          </cell>
          <cell r="AL99">
            <v>0.53700796240705384</v>
          </cell>
          <cell r="AM99">
            <v>7.8819266065810203E-2</v>
          </cell>
          <cell r="AN99">
            <v>3.510162474235367E-2</v>
          </cell>
          <cell r="AO99">
            <v>6.1075775455278003E-3</v>
          </cell>
          <cell r="AP99">
            <v>6.4978669787290021E-3</v>
          </cell>
          <cell r="AQ99">
            <v>-3.3057508091226808E-3</v>
          </cell>
        </row>
        <row r="100">
          <cell r="G100" t="str">
            <v>DITEXP</v>
          </cell>
          <cell r="J100">
            <v>0.99999999999999989</v>
          </cell>
          <cell r="K100">
            <v>1.9141955588282758E-2</v>
          </cell>
          <cell r="L100">
            <v>0.27398036455512026</v>
          </cell>
          <cell r="M100">
            <v>3.2100059840287035E-2</v>
          </cell>
          <cell r="N100">
            <v>0</v>
          </cell>
          <cell r="O100">
            <v>0.12117948257707835</v>
          </cell>
          <cell r="P100">
            <v>0.41769949533400635</v>
          </cell>
          <cell r="Q100">
            <v>4.9355006141802826E-2</v>
          </cell>
          <cell r="R100">
            <v>2.6508898015263672E-2</v>
          </cell>
          <cell r="S100">
            <v>3.2247311804357438E-3</v>
          </cell>
          <cell r="T100">
            <v>0</v>
          </cell>
          <cell r="U100">
            <v>5.6810006767722993E-2</v>
          </cell>
          <cell r="AC100" t="str">
            <v>DITEXP</v>
          </cell>
          <cell r="AF100">
            <v>0.99999999999999989</v>
          </cell>
          <cell r="AG100">
            <v>1.9141955588282758E-2</v>
          </cell>
          <cell r="AH100">
            <v>0.27398036455512026</v>
          </cell>
          <cell r="AI100">
            <v>3.2100059840287035E-2</v>
          </cell>
          <cell r="AJ100">
            <v>0</v>
          </cell>
          <cell r="AK100">
            <v>0.12117948257707835</v>
          </cell>
          <cell r="AL100">
            <v>0.41769949533400635</v>
          </cell>
          <cell r="AM100">
            <v>4.9355006141802826E-2</v>
          </cell>
          <cell r="AN100">
            <v>2.6508898015263672E-2</v>
          </cell>
          <cell r="AO100">
            <v>3.2247311804357438E-3</v>
          </cell>
          <cell r="AP100">
            <v>0</v>
          </cell>
          <cell r="AQ100">
            <v>5.6810006767722993E-2</v>
          </cell>
        </row>
        <row r="101">
          <cell r="G101" t="str">
            <v>DITBAL</v>
          </cell>
          <cell r="J101">
            <v>1</v>
          </cell>
          <cell r="K101">
            <v>2.1630537183574945E-2</v>
          </cell>
          <cell r="L101">
            <v>0.25790773197118433</v>
          </cell>
          <cell r="M101">
            <v>6.230340034346115E-2</v>
          </cell>
          <cell r="N101">
            <v>0</v>
          </cell>
          <cell r="O101">
            <v>0.11698488131645093</v>
          </cell>
          <cell r="P101">
            <v>0.44252252928700953</v>
          </cell>
          <cell r="Q101">
            <v>5.6403984232767691E-2</v>
          </cell>
          <cell r="R101">
            <v>2.4648765501714423E-2</v>
          </cell>
          <cell r="S101">
            <v>2.4503289568374872E-3</v>
          </cell>
          <cell r="T101">
            <v>0</v>
          </cell>
          <cell r="U101">
            <v>1.5147841206999555E-2</v>
          </cell>
          <cell r="AC101" t="str">
            <v>DITBAL</v>
          </cell>
          <cell r="AF101">
            <v>1</v>
          </cell>
          <cell r="AG101">
            <v>2.1630537183574945E-2</v>
          </cell>
          <cell r="AH101">
            <v>0.25790773197118433</v>
          </cell>
          <cell r="AI101">
            <v>6.230340034346115E-2</v>
          </cell>
          <cell r="AJ101">
            <v>0</v>
          </cell>
          <cell r="AK101">
            <v>0.11698488131645093</v>
          </cell>
          <cell r="AL101">
            <v>0.44252252928700953</v>
          </cell>
          <cell r="AM101">
            <v>5.6403984232767691E-2</v>
          </cell>
          <cell r="AN101">
            <v>2.4648765501714423E-2</v>
          </cell>
          <cell r="AO101">
            <v>2.4503289568374872E-3</v>
          </cell>
          <cell r="AP101">
            <v>0</v>
          </cell>
          <cell r="AQ101">
            <v>1.5147841206999555E-2</v>
          </cell>
        </row>
        <row r="102">
          <cell r="G102" t="str">
            <v>TAXDEPR</v>
          </cell>
          <cell r="J102">
            <v>1</v>
          </cell>
          <cell r="K102">
            <v>2.0144055912659466E-2</v>
          </cell>
          <cell r="L102">
            <v>0.26209488862536612</v>
          </cell>
          <cell r="M102">
            <v>6.4357257992723779E-2</v>
          </cell>
          <cell r="N102">
            <v>0</v>
          </cell>
          <cell r="O102">
            <v>0.11360766771624321</v>
          </cell>
          <cell r="P102">
            <v>0.44702671775339242</v>
          </cell>
          <cell r="Q102">
            <v>5.6920030195302382E-2</v>
          </cell>
          <cell r="R102">
            <v>2.3015578699623306E-2</v>
          </cell>
          <cell r="S102">
            <v>2.3226762790546718E-4</v>
          </cell>
          <cell r="T102">
            <v>0</v>
          </cell>
          <cell r="U102">
            <v>1.2601535476783873E-2</v>
          </cell>
          <cell r="AC102" t="str">
            <v>TAXDEPR</v>
          </cell>
          <cell r="AF102">
            <v>1</v>
          </cell>
          <cell r="AG102">
            <v>2.0144055912659466E-2</v>
          </cell>
          <cell r="AH102">
            <v>0.26209488862536612</v>
          </cell>
          <cell r="AI102">
            <v>6.4357257992723779E-2</v>
          </cell>
          <cell r="AJ102">
            <v>0</v>
          </cell>
          <cell r="AK102">
            <v>0.11360766771624321</v>
          </cell>
          <cell r="AL102">
            <v>0.44702671775339242</v>
          </cell>
          <cell r="AM102">
            <v>5.6920030195302382E-2</v>
          </cell>
          <cell r="AN102">
            <v>2.3015578699623306E-2</v>
          </cell>
          <cell r="AO102">
            <v>2.3226762790546718E-4</v>
          </cell>
          <cell r="AP102">
            <v>0</v>
          </cell>
          <cell r="AQ102">
            <v>1.2601535476783873E-2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2.0326497019931354E-2</v>
          </cell>
          <cell r="L106">
            <v>0.24126829316056372</v>
          </cell>
          <cell r="M106">
            <v>6.7702726582684086E-2</v>
          </cell>
          <cell r="N106">
            <v>0</v>
          </cell>
          <cell r="O106">
            <v>0.13004986105120714</v>
          </cell>
          <cell r="P106">
            <v>0.45370817403988534</v>
          </cell>
          <cell r="Q106">
            <v>6.1118886103001542E-2</v>
          </cell>
          <cell r="R106">
            <v>2.5547176125346637E-2</v>
          </cell>
          <cell r="S106">
            <v>2.7838591738025713E-4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2.0326497019931354E-2</v>
          </cell>
          <cell r="AH106">
            <v>0.24126829316056372</v>
          </cell>
          <cell r="AI106">
            <v>6.7702726582684086E-2</v>
          </cell>
          <cell r="AJ106">
            <v>0</v>
          </cell>
          <cell r="AK106">
            <v>0.13004986105120714</v>
          </cell>
          <cell r="AL106">
            <v>0.45370817403988534</v>
          </cell>
          <cell r="AM106">
            <v>6.1118886103001542E-2</v>
          </cell>
          <cell r="AN106">
            <v>2.5547176125346637E-2</v>
          </cell>
          <cell r="AO106">
            <v>2.7838591738025713E-4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1</v>
          </cell>
          <cell r="K107">
            <v>2.2175508678545796E-2</v>
          </cell>
          <cell r="L107">
            <v>0.34384806207387381</v>
          </cell>
          <cell r="M107">
            <v>9.5458176953271842E-2</v>
          </cell>
          <cell r="N107">
            <v>0</v>
          </cell>
          <cell r="O107">
            <v>9.3020351842534418E-2</v>
          </cell>
          <cell r="P107">
            <v>0.30231401941105657</v>
          </cell>
          <cell r="Q107">
            <v>4.5126429140685001E-2</v>
          </cell>
          <cell r="R107">
            <v>1.6172949473892351E-2</v>
          </cell>
          <cell r="S107">
            <v>1.909945021745151E-4</v>
          </cell>
          <cell r="T107">
            <v>8.1693507923965708E-2</v>
          </cell>
          <cell r="U107">
            <v>0</v>
          </cell>
          <cell r="AC107" t="str">
            <v>SCHMAEXP</v>
          </cell>
          <cell r="AF107">
            <v>1</v>
          </cell>
          <cell r="AG107">
            <v>2.2175508678545796E-2</v>
          </cell>
          <cell r="AH107">
            <v>0.34384806207387381</v>
          </cell>
          <cell r="AI107">
            <v>9.5458176953271842E-2</v>
          </cell>
          <cell r="AJ107">
            <v>0</v>
          </cell>
          <cell r="AK107">
            <v>9.3020351842534418E-2</v>
          </cell>
          <cell r="AL107">
            <v>0.30231401941105657</v>
          </cell>
          <cell r="AM107">
            <v>4.5126429140685001E-2</v>
          </cell>
          <cell r="AN107">
            <v>1.6172949473892351E-2</v>
          </cell>
          <cell r="AO107">
            <v>1.909945021745151E-4</v>
          </cell>
          <cell r="AP107">
            <v>8.1693507923965708E-2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1.4174545503952991E-2</v>
          </cell>
          <cell r="L108">
            <v>0.25557623928766454</v>
          </cell>
          <cell r="M108">
            <v>7.8137623299029887E-2</v>
          </cell>
          <cell r="N108">
            <v>0</v>
          </cell>
          <cell r="O108">
            <v>0.12704206729711748</v>
          </cell>
          <cell r="P108">
            <v>0.4414034312927092</v>
          </cell>
          <cell r="Q108">
            <v>5.9275206773164155E-2</v>
          </cell>
          <cell r="R108">
            <v>2.4390886546361772E-2</v>
          </cell>
          <cell r="AC108" t="str">
            <v>SGCT</v>
          </cell>
          <cell r="AF108">
            <v>1</v>
          </cell>
          <cell r="AG108">
            <v>1.4174545503952991E-2</v>
          </cell>
          <cell r="AH108">
            <v>0.25557623928766454</v>
          </cell>
          <cell r="AI108">
            <v>7.8137623299029887E-2</v>
          </cell>
          <cell r="AJ108">
            <v>0</v>
          </cell>
          <cell r="AK108">
            <v>0.12704206729711748</v>
          </cell>
          <cell r="AL108">
            <v>0.4414034312927092</v>
          </cell>
          <cell r="AM108">
            <v>5.9275206773164155E-2</v>
          </cell>
          <cell r="AN108">
            <v>2.4390886546361772E-2</v>
          </cell>
        </row>
      </sheetData>
      <sheetData sheetId="7">
        <row r="237">
          <cell r="I237">
            <v>64026189.890338466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">
          <cell r="AB2">
            <v>2</v>
          </cell>
        </row>
        <row r="3">
          <cell r="AG3" t="b">
            <v>1</v>
          </cell>
          <cell r="AH3" t="b">
            <v>0</v>
          </cell>
          <cell r="AI3" t="b">
            <v>1</v>
          </cell>
        </row>
        <row r="32">
          <cell r="AE32">
            <v>4.5400000000000003E-2</v>
          </cell>
        </row>
      </sheetData>
      <sheetData sheetId="13">
        <row r="1">
          <cell r="J1">
            <v>23426494531.083164</v>
          </cell>
        </row>
        <row r="3">
          <cell r="A3" t="str">
            <v>406CAGE</v>
          </cell>
          <cell r="B3">
            <v>406</v>
          </cell>
          <cell r="C3" t="str">
            <v>CAGE</v>
          </cell>
          <cell r="D3">
            <v>4750824.8499999996</v>
          </cell>
          <cell r="F3" t="str">
            <v>406CAGE</v>
          </cell>
          <cell r="G3">
            <v>406</v>
          </cell>
          <cell r="H3" t="str">
            <v>CAGE</v>
          </cell>
          <cell r="I3">
            <v>4750824.8499999996</v>
          </cell>
          <cell r="L3" t="str">
            <v>108360S</v>
          </cell>
          <cell r="M3">
            <v>0</v>
          </cell>
          <cell r="N3">
            <v>0</v>
          </cell>
          <cell r="O3">
            <v>-152129.36132847492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406UT</v>
          </cell>
          <cell r="B4">
            <v>406</v>
          </cell>
          <cell r="C4" t="str">
            <v>UT</v>
          </cell>
          <cell r="D4">
            <v>301635.48</v>
          </cell>
          <cell r="F4" t="str">
            <v>406UT</v>
          </cell>
          <cell r="G4">
            <v>406</v>
          </cell>
          <cell r="H4" t="str">
            <v>UT</v>
          </cell>
          <cell r="I4">
            <v>301635.48</v>
          </cell>
          <cell r="L4" t="str">
            <v>108361S</v>
          </cell>
          <cell r="M4">
            <v>0</v>
          </cell>
          <cell r="N4">
            <v>0</v>
          </cell>
          <cell r="O4">
            <v>-329815.4135402494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407ID</v>
          </cell>
          <cell r="B5">
            <v>407</v>
          </cell>
          <cell r="C5" t="str">
            <v>ID</v>
          </cell>
          <cell r="D5">
            <v>0</v>
          </cell>
          <cell r="F5" t="str">
            <v>407ID</v>
          </cell>
          <cell r="G5">
            <v>407</v>
          </cell>
          <cell r="H5" t="str">
            <v>ID</v>
          </cell>
          <cell r="I5">
            <v>0</v>
          </cell>
          <cell r="L5" t="str">
            <v>108362S</v>
          </cell>
          <cell r="M5">
            <v>0</v>
          </cell>
          <cell r="N5">
            <v>0</v>
          </cell>
          <cell r="O5">
            <v>-2920423.4225399834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407OR</v>
          </cell>
          <cell r="B6">
            <v>407</v>
          </cell>
          <cell r="C6" t="str">
            <v>OR</v>
          </cell>
          <cell r="D6">
            <v>-965.66</v>
          </cell>
          <cell r="F6" t="str">
            <v>407OR</v>
          </cell>
          <cell r="G6">
            <v>407</v>
          </cell>
          <cell r="H6" t="str">
            <v>OR</v>
          </cell>
          <cell r="I6">
            <v>-965.66</v>
          </cell>
          <cell r="L6" t="str">
            <v>108364S</v>
          </cell>
          <cell r="M6">
            <v>0</v>
          </cell>
          <cell r="N6">
            <v>0</v>
          </cell>
          <cell r="O6">
            <v>-4268251.7914282838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407OTHER</v>
          </cell>
          <cell r="B7">
            <v>407</v>
          </cell>
          <cell r="C7" t="str">
            <v>OTHER</v>
          </cell>
          <cell r="D7">
            <v>124290.24000000001</v>
          </cell>
          <cell r="F7" t="str">
            <v>407OTHER</v>
          </cell>
          <cell r="G7">
            <v>407</v>
          </cell>
          <cell r="H7" t="str">
            <v>OTHER</v>
          </cell>
          <cell r="I7">
            <v>124290.24000000001</v>
          </cell>
          <cell r="L7" t="str">
            <v>108365S</v>
          </cell>
          <cell r="M7">
            <v>0</v>
          </cell>
          <cell r="N7">
            <v>0</v>
          </cell>
          <cell r="O7">
            <v>-2365082.3212536434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407WA</v>
          </cell>
          <cell r="B8">
            <v>407</v>
          </cell>
          <cell r="C8" t="str">
            <v>WA</v>
          </cell>
          <cell r="D8">
            <v>965.66</v>
          </cell>
          <cell r="F8" t="str">
            <v>407WA</v>
          </cell>
          <cell r="G8">
            <v>407</v>
          </cell>
          <cell r="H8" t="str">
            <v>WA</v>
          </cell>
          <cell r="I8">
            <v>965.66</v>
          </cell>
          <cell r="L8" t="str">
            <v>108366S</v>
          </cell>
          <cell r="M8">
            <v>0</v>
          </cell>
          <cell r="N8">
            <v>0</v>
          </cell>
          <cell r="O8">
            <v>-1154046.480294039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408CA</v>
          </cell>
          <cell r="B9">
            <v>408</v>
          </cell>
          <cell r="C9" t="str">
            <v>CA</v>
          </cell>
          <cell r="D9">
            <v>1228286.3799999999</v>
          </cell>
          <cell r="F9" t="str">
            <v>408CA</v>
          </cell>
          <cell r="G9">
            <v>408</v>
          </cell>
          <cell r="H9" t="str">
            <v>CA</v>
          </cell>
          <cell r="I9">
            <v>1228286.3799999999</v>
          </cell>
          <cell r="L9" t="str">
            <v>108367S</v>
          </cell>
          <cell r="M9">
            <v>0</v>
          </cell>
          <cell r="N9">
            <v>0</v>
          </cell>
          <cell r="O9">
            <v>-2477359.1951605906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408CAEE</v>
          </cell>
          <cell r="B10">
            <v>408</v>
          </cell>
          <cell r="C10" t="str">
            <v>CAEE</v>
          </cell>
          <cell r="D10">
            <v>446422.44</v>
          </cell>
          <cell r="F10" t="str">
            <v>408CAEE</v>
          </cell>
          <cell r="G10">
            <v>408</v>
          </cell>
          <cell r="H10" t="str">
            <v>CAEE</v>
          </cell>
          <cell r="I10">
            <v>446422.44</v>
          </cell>
          <cell r="L10" t="str">
            <v>108368S</v>
          </cell>
          <cell r="M10">
            <v>0</v>
          </cell>
          <cell r="N10">
            <v>0</v>
          </cell>
          <cell r="O10">
            <v>-4262216.6973745571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408CAGE</v>
          </cell>
          <cell r="B11">
            <v>408</v>
          </cell>
          <cell r="C11" t="str">
            <v>CAGE</v>
          </cell>
          <cell r="D11">
            <v>1955572</v>
          </cell>
          <cell r="F11" t="str">
            <v>408CAGE</v>
          </cell>
          <cell r="G11">
            <v>408</v>
          </cell>
          <cell r="H11" t="str">
            <v>CAGE</v>
          </cell>
          <cell r="I11">
            <v>1955572</v>
          </cell>
          <cell r="L11" t="str">
            <v>108369S</v>
          </cell>
          <cell r="M11">
            <v>0</v>
          </cell>
          <cell r="N11">
            <v>0</v>
          </cell>
          <cell r="O11">
            <v>-2724110.9470111029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408GPS</v>
          </cell>
          <cell r="B12">
            <v>408</v>
          </cell>
          <cell r="C12" t="str">
            <v>GPS</v>
          </cell>
          <cell r="D12">
            <v>149370144.46000001</v>
          </cell>
          <cell r="F12" t="str">
            <v>408GPS</v>
          </cell>
          <cell r="G12">
            <v>408</v>
          </cell>
          <cell r="H12" t="str">
            <v>GPS</v>
          </cell>
          <cell r="I12">
            <v>149370144.46000001</v>
          </cell>
          <cell r="L12" t="str">
            <v>108370S</v>
          </cell>
          <cell r="M12">
            <v>0</v>
          </cell>
          <cell r="N12">
            <v>0</v>
          </cell>
          <cell r="O12">
            <v>-816847.01515854476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408OR</v>
          </cell>
          <cell r="B13">
            <v>408</v>
          </cell>
          <cell r="C13" t="str">
            <v>OR</v>
          </cell>
          <cell r="D13">
            <v>31803624.530000001</v>
          </cell>
          <cell r="F13" t="str">
            <v>408OR</v>
          </cell>
          <cell r="G13">
            <v>408</v>
          </cell>
          <cell r="H13" t="str">
            <v>OR</v>
          </cell>
          <cell r="I13">
            <v>31803624.530000001</v>
          </cell>
          <cell r="L13" t="str">
            <v>108371S</v>
          </cell>
          <cell r="M13">
            <v>0</v>
          </cell>
          <cell r="N13">
            <v>0</v>
          </cell>
          <cell r="O13">
            <v>-17715.465359583668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408SE</v>
          </cell>
          <cell r="B14">
            <v>408</v>
          </cell>
          <cell r="C14" t="str">
            <v>SE</v>
          </cell>
          <cell r="D14">
            <v>396825.46</v>
          </cell>
          <cell r="F14" t="str">
            <v>408SE</v>
          </cell>
          <cell r="G14">
            <v>408</v>
          </cell>
          <cell r="H14" t="str">
            <v>SE</v>
          </cell>
          <cell r="I14">
            <v>396825.46</v>
          </cell>
          <cell r="L14" t="str">
            <v>108373S</v>
          </cell>
          <cell r="M14">
            <v>0</v>
          </cell>
          <cell r="N14">
            <v>0</v>
          </cell>
          <cell r="O14">
            <v>-179469.47131124898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408SO</v>
          </cell>
          <cell r="B15">
            <v>408</v>
          </cell>
          <cell r="C15" t="str">
            <v>SO</v>
          </cell>
          <cell r="D15">
            <v>-189453.56</v>
          </cell>
          <cell r="F15" t="str">
            <v>408SO</v>
          </cell>
          <cell r="G15">
            <v>408</v>
          </cell>
          <cell r="H15" t="str">
            <v>SO</v>
          </cell>
          <cell r="I15">
            <v>-189453.56</v>
          </cell>
          <cell r="L15" t="str">
            <v>108DPS</v>
          </cell>
          <cell r="M15">
            <v>0</v>
          </cell>
          <cell r="N15">
            <v>0</v>
          </cell>
          <cell r="O15">
            <v>-46375.746666666993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408WA</v>
          </cell>
          <cell r="B16">
            <v>408</v>
          </cell>
          <cell r="C16" t="str">
            <v>WA</v>
          </cell>
          <cell r="D16">
            <v>12576093.84</v>
          </cell>
          <cell r="F16" t="str">
            <v>408WA</v>
          </cell>
          <cell r="G16">
            <v>408</v>
          </cell>
          <cell r="H16" t="str">
            <v>WA</v>
          </cell>
          <cell r="I16">
            <v>12576093.84</v>
          </cell>
          <cell r="L16" t="str">
            <v>108GPCAEE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408WYP</v>
          </cell>
          <cell r="B17">
            <v>408</v>
          </cell>
          <cell r="C17" t="str">
            <v>WYP</v>
          </cell>
          <cell r="D17">
            <v>1954149.97</v>
          </cell>
          <cell r="F17" t="str">
            <v>408WYP</v>
          </cell>
          <cell r="G17">
            <v>408</v>
          </cell>
          <cell r="H17" t="str">
            <v>WYP</v>
          </cell>
          <cell r="I17">
            <v>1954149.97</v>
          </cell>
          <cell r="L17" t="str">
            <v>108GPCAGE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419SNP</v>
          </cell>
          <cell r="B18">
            <v>419</v>
          </cell>
          <cell r="C18" t="str">
            <v>SNP</v>
          </cell>
          <cell r="D18">
            <v>-49461258.240000002</v>
          </cell>
          <cell r="F18" t="str">
            <v>419SNP</v>
          </cell>
          <cell r="G18">
            <v>419</v>
          </cell>
          <cell r="H18" t="str">
            <v>SNP</v>
          </cell>
          <cell r="I18">
            <v>-49461258.240000002</v>
          </cell>
          <cell r="L18" t="str">
            <v>108GPCAGW</v>
          </cell>
          <cell r="M18">
            <v>0</v>
          </cell>
          <cell r="N18">
            <v>0</v>
          </cell>
          <cell r="O18">
            <v>-1141839.6023703995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421CA</v>
          </cell>
          <cell r="B19">
            <v>421</v>
          </cell>
          <cell r="C19" t="str">
            <v>CA</v>
          </cell>
          <cell r="D19">
            <v>15089.04</v>
          </cell>
          <cell r="F19" t="str">
            <v>421CA</v>
          </cell>
          <cell r="G19">
            <v>421</v>
          </cell>
          <cell r="H19" t="str">
            <v>CA</v>
          </cell>
          <cell r="I19">
            <v>15089.04</v>
          </cell>
          <cell r="L19" t="str">
            <v>108GPCN</v>
          </cell>
          <cell r="M19">
            <v>0</v>
          </cell>
          <cell r="N19">
            <v>0</v>
          </cell>
          <cell r="O19">
            <v>116255.00888549988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421CAGE</v>
          </cell>
          <cell r="B20">
            <v>421</v>
          </cell>
          <cell r="C20" t="str">
            <v>CAGE</v>
          </cell>
          <cell r="D20">
            <v>-137165.31</v>
          </cell>
          <cell r="F20" t="str">
            <v>421CAGE</v>
          </cell>
          <cell r="G20">
            <v>421</v>
          </cell>
          <cell r="H20" t="str">
            <v>CAGE</v>
          </cell>
          <cell r="I20">
            <v>-137165.31</v>
          </cell>
          <cell r="L20" t="str">
            <v>108GPJBE</v>
          </cell>
          <cell r="M20">
            <v>0</v>
          </cell>
          <cell r="N20">
            <v>0</v>
          </cell>
          <cell r="O20">
            <v>72.497943240430459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421CAGW</v>
          </cell>
          <cell r="B21">
            <v>421</v>
          </cell>
          <cell r="C21" t="str">
            <v>CAGW</v>
          </cell>
          <cell r="D21">
            <v>26718.240000000002</v>
          </cell>
          <cell r="F21" t="str">
            <v>421CAGW</v>
          </cell>
          <cell r="G21">
            <v>421</v>
          </cell>
          <cell r="H21" t="str">
            <v>CAGW</v>
          </cell>
          <cell r="I21">
            <v>26718.240000000002</v>
          </cell>
          <cell r="L21" t="str">
            <v>108GPJBG</v>
          </cell>
          <cell r="M21">
            <v>0</v>
          </cell>
          <cell r="N21">
            <v>0</v>
          </cell>
          <cell r="O21">
            <v>116167.07081938516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421ID</v>
          </cell>
          <cell r="B22">
            <v>421</v>
          </cell>
          <cell r="C22" t="str">
            <v>ID</v>
          </cell>
          <cell r="D22">
            <v>0</v>
          </cell>
          <cell r="F22" t="str">
            <v>421ID</v>
          </cell>
          <cell r="G22">
            <v>421</v>
          </cell>
          <cell r="H22" t="str">
            <v>ID</v>
          </cell>
          <cell r="I22">
            <v>0</v>
          </cell>
          <cell r="L22" t="str">
            <v>108GPS</v>
          </cell>
          <cell r="M22">
            <v>0</v>
          </cell>
          <cell r="N22">
            <v>0</v>
          </cell>
          <cell r="O22">
            <v>-1539532.0063877064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421OR</v>
          </cell>
          <cell r="B23">
            <v>421</v>
          </cell>
          <cell r="C23" t="str">
            <v>OR</v>
          </cell>
          <cell r="D23">
            <v>731593.56</v>
          </cell>
          <cell r="F23" t="str">
            <v>421OR</v>
          </cell>
          <cell r="G23">
            <v>421</v>
          </cell>
          <cell r="H23" t="str">
            <v>OR</v>
          </cell>
          <cell r="I23">
            <v>731593.56</v>
          </cell>
          <cell r="L23" t="str">
            <v>108GPSG</v>
          </cell>
          <cell r="M23">
            <v>0</v>
          </cell>
          <cell r="N23">
            <v>0</v>
          </cell>
          <cell r="O23">
            <v>-698.71001372387025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421OTHER</v>
          </cell>
          <cell r="B24">
            <v>421</v>
          </cell>
          <cell r="C24" t="str">
            <v>OTHER</v>
          </cell>
          <cell r="D24">
            <v>0</v>
          </cell>
          <cell r="F24" t="str">
            <v>421OTHER</v>
          </cell>
          <cell r="G24">
            <v>421</v>
          </cell>
          <cell r="H24" t="str">
            <v>OTHER</v>
          </cell>
          <cell r="I24">
            <v>0</v>
          </cell>
          <cell r="L24" t="str">
            <v>108GPSO</v>
          </cell>
          <cell r="M24">
            <v>0</v>
          </cell>
          <cell r="N24">
            <v>0</v>
          </cell>
          <cell r="O24">
            <v>293309.27403219603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421SO</v>
          </cell>
          <cell r="B25">
            <v>421</v>
          </cell>
          <cell r="C25" t="str">
            <v>SO</v>
          </cell>
          <cell r="D25">
            <v>-3951389.62</v>
          </cell>
          <cell r="F25" t="str">
            <v>421SO</v>
          </cell>
          <cell r="G25">
            <v>421</v>
          </cell>
          <cell r="H25" t="str">
            <v>SO</v>
          </cell>
          <cell r="I25">
            <v>-3951389.62</v>
          </cell>
          <cell r="L25" t="str">
            <v>108HPCAGE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421UT</v>
          </cell>
          <cell r="B26">
            <v>421</v>
          </cell>
          <cell r="C26" t="str">
            <v>UT</v>
          </cell>
          <cell r="D26">
            <v>-15660.42</v>
          </cell>
          <cell r="F26" t="str">
            <v>421UT</v>
          </cell>
          <cell r="G26">
            <v>421</v>
          </cell>
          <cell r="H26" t="str">
            <v>UT</v>
          </cell>
          <cell r="I26">
            <v>-15660.42</v>
          </cell>
          <cell r="L26" t="str">
            <v>108HPCAGW</v>
          </cell>
          <cell r="M26">
            <v>0</v>
          </cell>
          <cell r="N26">
            <v>0</v>
          </cell>
          <cell r="O26">
            <v>54451354.238561675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421WA</v>
          </cell>
          <cell r="B27">
            <v>421</v>
          </cell>
          <cell r="C27" t="str">
            <v>WA</v>
          </cell>
          <cell r="D27">
            <v>-1073.22</v>
          </cell>
          <cell r="F27" t="str">
            <v>421WA</v>
          </cell>
          <cell r="G27">
            <v>421</v>
          </cell>
          <cell r="H27" t="str">
            <v>WA</v>
          </cell>
          <cell r="I27">
            <v>-1073.22</v>
          </cell>
          <cell r="L27" t="str">
            <v>108HPOTHER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421WYP</v>
          </cell>
          <cell r="B28">
            <v>421</v>
          </cell>
          <cell r="C28" t="str">
            <v>WYP</v>
          </cell>
          <cell r="D28">
            <v>178.62</v>
          </cell>
          <cell r="F28" t="str">
            <v>421WYP</v>
          </cell>
          <cell r="G28">
            <v>421</v>
          </cell>
          <cell r="H28" t="str">
            <v>WYP</v>
          </cell>
          <cell r="I28">
            <v>178.62</v>
          </cell>
          <cell r="L28" t="str">
            <v>108HPSG</v>
          </cell>
          <cell r="M28">
            <v>0</v>
          </cell>
          <cell r="N28">
            <v>0</v>
          </cell>
          <cell r="O28">
            <v>-30964535.473304197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421WYU</v>
          </cell>
          <cell r="B29">
            <v>421</v>
          </cell>
          <cell r="C29" t="str">
            <v>WYU</v>
          </cell>
          <cell r="D29">
            <v>4815.24</v>
          </cell>
          <cell r="F29" t="str">
            <v>421WYU</v>
          </cell>
          <cell r="G29">
            <v>421</v>
          </cell>
          <cell r="H29" t="str">
            <v>WYU</v>
          </cell>
          <cell r="I29">
            <v>4815.24</v>
          </cell>
          <cell r="L29" t="str">
            <v>108MPCAEE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427SNP</v>
          </cell>
          <cell r="B30">
            <v>427</v>
          </cell>
          <cell r="C30" t="str">
            <v>SNP</v>
          </cell>
          <cell r="D30">
            <v>361009522.38999999</v>
          </cell>
          <cell r="F30" t="str">
            <v>427SNP</v>
          </cell>
          <cell r="G30">
            <v>427</v>
          </cell>
          <cell r="H30" t="str">
            <v>SNP</v>
          </cell>
          <cell r="I30">
            <v>361009522.38999999</v>
          </cell>
          <cell r="L30" t="str">
            <v>108MPJBE</v>
          </cell>
          <cell r="M30">
            <v>0</v>
          </cell>
          <cell r="N30">
            <v>0</v>
          </cell>
          <cell r="O30">
            <v>-57337030.203123763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428SNP</v>
          </cell>
          <cell r="B31">
            <v>428</v>
          </cell>
          <cell r="C31" t="str">
            <v>SNP</v>
          </cell>
          <cell r="D31">
            <v>4460171.12</v>
          </cell>
          <cell r="F31" t="str">
            <v>428SNP</v>
          </cell>
          <cell r="G31">
            <v>428</v>
          </cell>
          <cell r="H31" t="str">
            <v>SNP</v>
          </cell>
          <cell r="I31">
            <v>4460171.12</v>
          </cell>
          <cell r="L31" t="str">
            <v>108OPCAGE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429SNP</v>
          </cell>
          <cell r="B32">
            <v>429</v>
          </cell>
          <cell r="C32" t="str">
            <v>SNP</v>
          </cell>
          <cell r="D32">
            <v>-11025.84</v>
          </cell>
          <cell r="F32" t="str">
            <v>429SNP</v>
          </cell>
          <cell r="G32">
            <v>429</v>
          </cell>
          <cell r="H32" t="str">
            <v>SNP</v>
          </cell>
          <cell r="I32">
            <v>-11025.84</v>
          </cell>
          <cell r="L32" t="str">
            <v>108OPCAGW</v>
          </cell>
          <cell r="M32">
            <v>0</v>
          </cell>
          <cell r="N32">
            <v>0</v>
          </cell>
          <cell r="O32">
            <v>55645712.968929023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431SNP</v>
          </cell>
          <cell r="B33">
            <v>431</v>
          </cell>
          <cell r="C33" t="str">
            <v>SNP</v>
          </cell>
          <cell r="D33">
            <v>21988458.27</v>
          </cell>
          <cell r="F33" t="str">
            <v>431SNP</v>
          </cell>
          <cell r="G33">
            <v>431</v>
          </cell>
          <cell r="H33" t="str">
            <v>SNP</v>
          </cell>
          <cell r="I33">
            <v>21988458.27</v>
          </cell>
          <cell r="L33" t="str">
            <v>108OPSG</v>
          </cell>
          <cell r="M33">
            <v>0</v>
          </cell>
          <cell r="N33">
            <v>0</v>
          </cell>
          <cell r="O33">
            <v>25935761.323484868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432SNP</v>
          </cell>
          <cell r="B34">
            <v>432</v>
          </cell>
          <cell r="C34" t="str">
            <v>SNP</v>
          </cell>
          <cell r="D34">
            <v>-25466791.579999998</v>
          </cell>
          <cell r="F34" t="str">
            <v>432SNP</v>
          </cell>
          <cell r="G34">
            <v>432</v>
          </cell>
          <cell r="H34" t="str">
            <v>SNP</v>
          </cell>
          <cell r="I34">
            <v>-25466791.579999998</v>
          </cell>
          <cell r="L34" t="str">
            <v>108SPCAEE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440CA</v>
          </cell>
          <cell r="B35">
            <v>440</v>
          </cell>
          <cell r="C35" t="str">
            <v>CA</v>
          </cell>
          <cell r="D35">
            <v>46059433.880000003</v>
          </cell>
          <cell r="F35" t="str">
            <v>440CA</v>
          </cell>
          <cell r="G35">
            <v>440</v>
          </cell>
          <cell r="H35" t="str">
            <v>CA</v>
          </cell>
          <cell r="I35">
            <v>46059433.880000003</v>
          </cell>
          <cell r="L35" t="str">
            <v>108SPCAGE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440ID</v>
          </cell>
          <cell r="B36">
            <v>440</v>
          </cell>
          <cell r="C36" t="str">
            <v>ID</v>
          </cell>
          <cell r="D36">
            <v>78031298.959999993</v>
          </cell>
          <cell r="F36" t="str">
            <v>440ID</v>
          </cell>
          <cell r="G36">
            <v>440</v>
          </cell>
          <cell r="H36" t="str">
            <v>ID</v>
          </cell>
          <cell r="I36">
            <v>78031298.959999993</v>
          </cell>
          <cell r="L36" t="str">
            <v>108SPCAGW</v>
          </cell>
          <cell r="M36">
            <v>0</v>
          </cell>
          <cell r="N36">
            <v>0</v>
          </cell>
          <cell r="O36">
            <v>18288997.524023395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440OR</v>
          </cell>
          <cell r="B37">
            <v>440</v>
          </cell>
          <cell r="C37" t="str">
            <v>OR</v>
          </cell>
          <cell r="D37">
            <v>629272437.13</v>
          </cell>
          <cell r="F37" t="str">
            <v>440OR</v>
          </cell>
          <cell r="G37">
            <v>440</v>
          </cell>
          <cell r="H37" t="str">
            <v>OR</v>
          </cell>
          <cell r="I37">
            <v>629272437.13</v>
          </cell>
          <cell r="L37" t="str">
            <v>108SPJBG</v>
          </cell>
          <cell r="M37">
            <v>0</v>
          </cell>
          <cell r="N37">
            <v>0</v>
          </cell>
          <cell r="O37">
            <v>-25158960.629586134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440OTHER</v>
          </cell>
          <cell r="B38">
            <v>440</v>
          </cell>
          <cell r="C38" t="str">
            <v>OTHER</v>
          </cell>
          <cell r="D38">
            <v>37292177.789999999</v>
          </cell>
          <cell r="F38" t="str">
            <v>440OTHER</v>
          </cell>
          <cell r="G38">
            <v>440</v>
          </cell>
          <cell r="H38" t="str">
            <v>OTHER</v>
          </cell>
          <cell r="I38">
            <v>37292177.789999999</v>
          </cell>
          <cell r="L38" t="str">
            <v>108SPS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440UT</v>
          </cell>
          <cell r="B39">
            <v>440</v>
          </cell>
          <cell r="C39" t="str">
            <v>UT</v>
          </cell>
          <cell r="D39">
            <v>763826667.5</v>
          </cell>
          <cell r="F39" t="str">
            <v>440UT</v>
          </cell>
          <cell r="G39">
            <v>440</v>
          </cell>
          <cell r="H39" t="str">
            <v>UT</v>
          </cell>
          <cell r="I39">
            <v>763826667.5</v>
          </cell>
          <cell r="L39" t="str">
            <v>108SPSG</v>
          </cell>
          <cell r="M39">
            <v>0</v>
          </cell>
          <cell r="N39">
            <v>0</v>
          </cell>
          <cell r="O39">
            <v>-7275532.3668136876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440WA</v>
          </cell>
          <cell r="B40">
            <v>440</v>
          </cell>
          <cell r="C40" t="str">
            <v>WA</v>
          </cell>
          <cell r="D40">
            <v>144964649.19</v>
          </cell>
          <cell r="F40" t="str">
            <v>440WA</v>
          </cell>
          <cell r="G40">
            <v>440</v>
          </cell>
          <cell r="H40" t="str">
            <v>WA</v>
          </cell>
          <cell r="I40">
            <v>144964649.19</v>
          </cell>
          <cell r="L40" t="str">
            <v>108TPCAGE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440WYP</v>
          </cell>
          <cell r="B41">
            <v>440</v>
          </cell>
          <cell r="C41" t="str">
            <v>WYP</v>
          </cell>
          <cell r="D41">
            <v>96977062.530000001</v>
          </cell>
          <cell r="F41" t="str">
            <v>440WYP</v>
          </cell>
          <cell r="G41">
            <v>440</v>
          </cell>
          <cell r="H41" t="str">
            <v>WYP</v>
          </cell>
          <cell r="I41">
            <v>96977062.530000001</v>
          </cell>
          <cell r="L41" t="str">
            <v>108TPCAGW</v>
          </cell>
          <cell r="M41">
            <v>0</v>
          </cell>
          <cell r="N41">
            <v>0</v>
          </cell>
          <cell r="O41">
            <v>114856093.57327627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440WYU</v>
          </cell>
          <cell r="B42">
            <v>440</v>
          </cell>
          <cell r="C42" t="str">
            <v>WYU</v>
          </cell>
          <cell r="D42">
            <v>12381348.210000001</v>
          </cell>
          <cell r="F42" t="str">
            <v>440WYU</v>
          </cell>
          <cell r="G42">
            <v>440</v>
          </cell>
          <cell r="H42" t="str">
            <v>WYU</v>
          </cell>
          <cell r="I42">
            <v>12381348.210000001</v>
          </cell>
          <cell r="L42" t="str">
            <v>108TPJBG</v>
          </cell>
          <cell r="M42">
            <v>0</v>
          </cell>
          <cell r="N42">
            <v>0</v>
          </cell>
          <cell r="O42">
            <v>8815897.8670072034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442CA</v>
          </cell>
          <cell r="B43">
            <v>442</v>
          </cell>
          <cell r="C43" t="str">
            <v>CA</v>
          </cell>
          <cell r="D43">
            <v>53087042.32</v>
          </cell>
          <cell r="F43" t="str">
            <v>442CA</v>
          </cell>
          <cell r="G43">
            <v>442</v>
          </cell>
          <cell r="H43" t="str">
            <v>CA</v>
          </cell>
          <cell r="I43">
            <v>53087042.32</v>
          </cell>
          <cell r="L43" t="str">
            <v>108TPSG</v>
          </cell>
          <cell r="M43">
            <v>0</v>
          </cell>
          <cell r="N43">
            <v>0</v>
          </cell>
          <cell r="O43">
            <v>-154269561.66799247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442ID</v>
          </cell>
          <cell r="B44">
            <v>442</v>
          </cell>
          <cell r="C44" t="str">
            <v>ID</v>
          </cell>
          <cell r="D44">
            <v>205168607.05000001</v>
          </cell>
          <cell r="F44" t="str">
            <v>442ID</v>
          </cell>
          <cell r="G44">
            <v>442</v>
          </cell>
          <cell r="H44" t="str">
            <v>ID</v>
          </cell>
          <cell r="I44">
            <v>205168607.05000001</v>
          </cell>
          <cell r="L44" t="str">
            <v>111GPCN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442OR</v>
          </cell>
          <cell r="B45">
            <v>442</v>
          </cell>
          <cell r="C45" t="str">
            <v>OR</v>
          </cell>
          <cell r="D45">
            <v>627285353.25999999</v>
          </cell>
          <cell r="F45" t="str">
            <v>442OR</v>
          </cell>
          <cell r="G45">
            <v>442</v>
          </cell>
          <cell r="H45" t="str">
            <v>OR</v>
          </cell>
          <cell r="I45">
            <v>627285353.25999999</v>
          </cell>
          <cell r="L45" t="str">
            <v>111GPS</v>
          </cell>
          <cell r="M45">
            <v>0</v>
          </cell>
          <cell r="N45">
            <v>0</v>
          </cell>
          <cell r="O45">
            <v>-161661.21875000023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442OTHER</v>
          </cell>
          <cell r="B46">
            <v>442</v>
          </cell>
          <cell r="C46" t="str">
            <v>OTHER</v>
          </cell>
          <cell r="D46">
            <v>45597764.729999997</v>
          </cell>
          <cell r="F46" t="str">
            <v>442OTHER</v>
          </cell>
          <cell r="G46">
            <v>442</v>
          </cell>
          <cell r="H46" t="str">
            <v>OTHER</v>
          </cell>
          <cell r="I46">
            <v>45597764.729999997</v>
          </cell>
          <cell r="L46" t="str">
            <v>111GPSG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442UT</v>
          </cell>
          <cell r="B47">
            <v>442</v>
          </cell>
          <cell r="C47" t="str">
            <v>UT</v>
          </cell>
          <cell r="D47">
            <v>1237484163.75</v>
          </cell>
          <cell r="F47" t="str">
            <v>442UT</v>
          </cell>
          <cell r="G47">
            <v>442</v>
          </cell>
          <cell r="H47" t="str">
            <v>UT</v>
          </cell>
          <cell r="I47">
            <v>1237484163.75</v>
          </cell>
          <cell r="L47" t="str">
            <v>111GPSO</v>
          </cell>
          <cell r="M47">
            <v>0</v>
          </cell>
          <cell r="N47">
            <v>0</v>
          </cell>
          <cell r="O47">
            <v>-36238.454458543893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442WA</v>
          </cell>
          <cell r="B48">
            <v>442</v>
          </cell>
          <cell r="C48" t="str">
            <v>WA</v>
          </cell>
          <cell r="D48">
            <v>180341875.69999999</v>
          </cell>
          <cell r="F48" t="str">
            <v>442WA</v>
          </cell>
          <cell r="G48">
            <v>442</v>
          </cell>
          <cell r="H48" t="str">
            <v>WA</v>
          </cell>
          <cell r="I48">
            <v>180341875.69999999</v>
          </cell>
          <cell r="L48" t="str">
            <v>111HPCAGE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442WYP</v>
          </cell>
          <cell r="B49">
            <v>442</v>
          </cell>
          <cell r="C49" t="str">
            <v>WYP</v>
          </cell>
          <cell r="D49">
            <v>456869828.47000003</v>
          </cell>
          <cell r="F49" t="str">
            <v>442WYP</v>
          </cell>
          <cell r="G49">
            <v>442</v>
          </cell>
          <cell r="H49" t="str">
            <v>WYP</v>
          </cell>
          <cell r="I49">
            <v>456869828.47000003</v>
          </cell>
          <cell r="L49" t="str">
            <v>111HPCAGW</v>
          </cell>
          <cell r="M49">
            <v>0</v>
          </cell>
          <cell r="N49">
            <v>0</v>
          </cell>
          <cell r="O49">
            <v>-134415.09899211142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442WYU</v>
          </cell>
          <cell r="B50">
            <v>442</v>
          </cell>
          <cell r="C50" t="str">
            <v>WYU</v>
          </cell>
          <cell r="D50">
            <v>105756954.04000001</v>
          </cell>
          <cell r="F50" t="str">
            <v>442WYU</v>
          </cell>
          <cell r="G50">
            <v>442</v>
          </cell>
          <cell r="H50" t="str">
            <v>WYU</v>
          </cell>
          <cell r="I50">
            <v>105756954.04000001</v>
          </cell>
          <cell r="L50" t="str">
            <v>111IPCAEE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444CA</v>
          </cell>
          <cell r="B51">
            <v>444</v>
          </cell>
          <cell r="C51" t="str">
            <v>CA</v>
          </cell>
          <cell r="D51">
            <v>352246.24</v>
          </cell>
          <cell r="F51" t="str">
            <v>444CA</v>
          </cell>
          <cell r="G51">
            <v>444</v>
          </cell>
          <cell r="H51" t="str">
            <v>CA</v>
          </cell>
          <cell r="I51">
            <v>352246.24</v>
          </cell>
          <cell r="L51" t="str">
            <v>111IPCAGE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444ID</v>
          </cell>
          <cell r="B52">
            <v>444</v>
          </cell>
          <cell r="C52" t="str">
            <v>ID</v>
          </cell>
          <cell r="D52">
            <v>522303.42</v>
          </cell>
          <cell r="F52" t="str">
            <v>444ID</v>
          </cell>
          <cell r="G52">
            <v>444</v>
          </cell>
          <cell r="H52" t="str">
            <v>ID</v>
          </cell>
          <cell r="I52">
            <v>522303.42</v>
          </cell>
          <cell r="L52" t="str">
            <v>111IPCAGW</v>
          </cell>
          <cell r="M52">
            <v>0</v>
          </cell>
          <cell r="N52">
            <v>0</v>
          </cell>
          <cell r="O52">
            <v>6187694.0020894846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444OR</v>
          </cell>
          <cell r="B53">
            <v>444</v>
          </cell>
          <cell r="C53" t="str">
            <v>OR</v>
          </cell>
          <cell r="D53">
            <v>5969307.1200000001</v>
          </cell>
          <cell r="F53" t="str">
            <v>444OR</v>
          </cell>
          <cell r="G53">
            <v>444</v>
          </cell>
          <cell r="H53" t="str">
            <v>OR</v>
          </cell>
          <cell r="I53">
            <v>5969307.1200000001</v>
          </cell>
          <cell r="L53" t="str">
            <v>111IPCN</v>
          </cell>
          <cell r="M53">
            <v>0</v>
          </cell>
          <cell r="N53">
            <v>0</v>
          </cell>
          <cell r="O53">
            <v>-1424755.3261755644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444OTHER</v>
          </cell>
          <cell r="B54">
            <v>444</v>
          </cell>
          <cell r="C54" t="str">
            <v>OTHER</v>
          </cell>
          <cell r="D54">
            <v>363089.17</v>
          </cell>
          <cell r="F54" t="str">
            <v>444OTHER</v>
          </cell>
          <cell r="G54">
            <v>444</v>
          </cell>
          <cell r="H54" t="str">
            <v>OTHER</v>
          </cell>
          <cell r="I54">
            <v>363089.17</v>
          </cell>
          <cell r="L54" t="str">
            <v>111IPJBG</v>
          </cell>
          <cell r="M54">
            <v>0</v>
          </cell>
          <cell r="N54">
            <v>0</v>
          </cell>
          <cell r="O54">
            <v>-96874.649509257026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444UT</v>
          </cell>
          <cell r="B55">
            <v>444</v>
          </cell>
          <cell r="C55" t="str">
            <v>UT</v>
          </cell>
          <cell r="D55">
            <v>8032900.6399999997</v>
          </cell>
          <cell r="F55" t="str">
            <v>444UT</v>
          </cell>
          <cell r="G55">
            <v>444</v>
          </cell>
          <cell r="H55" t="str">
            <v>UT</v>
          </cell>
          <cell r="I55">
            <v>8032900.6399999997</v>
          </cell>
          <cell r="L55" t="str">
            <v>111IPS</v>
          </cell>
          <cell r="M55">
            <v>0</v>
          </cell>
          <cell r="N55">
            <v>0</v>
          </cell>
          <cell r="O55">
            <v>-6047.200000000008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444WA</v>
          </cell>
          <cell r="B56">
            <v>444</v>
          </cell>
          <cell r="C56" t="str">
            <v>WA</v>
          </cell>
          <cell r="D56">
            <v>1242676.8999999999</v>
          </cell>
          <cell r="F56" t="str">
            <v>444WA</v>
          </cell>
          <cell r="G56">
            <v>444</v>
          </cell>
          <cell r="H56" t="str">
            <v>WA</v>
          </cell>
          <cell r="I56">
            <v>1242676.8999999999</v>
          </cell>
          <cell r="L56" t="str">
            <v>111IPSG</v>
          </cell>
          <cell r="M56">
            <v>0</v>
          </cell>
          <cell r="N56">
            <v>0</v>
          </cell>
          <cell r="O56">
            <v>-4160875.5385660902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444WYP</v>
          </cell>
          <cell r="B57">
            <v>444</v>
          </cell>
          <cell r="C57" t="str">
            <v>WYP</v>
          </cell>
          <cell r="D57">
            <v>1572102.98</v>
          </cell>
          <cell r="F57" t="str">
            <v>444WYP</v>
          </cell>
          <cell r="G57">
            <v>444</v>
          </cell>
          <cell r="H57" t="str">
            <v>WYP</v>
          </cell>
          <cell r="I57">
            <v>1572102.98</v>
          </cell>
          <cell r="L57" t="str">
            <v>111IPSO</v>
          </cell>
          <cell r="M57">
            <v>0</v>
          </cell>
          <cell r="N57">
            <v>0</v>
          </cell>
          <cell r="O57">
            <v>-486828.9010135053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444WYU</v>
          </cell>
          <cell r="B58">
            <v>444</v>
          </cell>
          <cell r="C58" t="str">
            <v>WYU</v>
          </cell>
          <cell r="D58">
            <v>350074.44</v>
          </cell>
          <cell r="F58" t="str">
            <v>444WYU</v>
          </cell>
          <cell r="G58">
            <v>444</v>
          </cell>
          <cell r="H58" t="str">
            <v>WYU</v>
          </cell>
          <cell r="I58">
            <v>350074.44</v>
          </cell>
          <cell r="L58" t="str">
            <v>111OPCAGE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447FERC</v>
          </cell>
          <cell r="B59">
            <v>447</v>
          </cell>
          <cell r="C59" t="str">
            <v>FERC</v>
          </cell>
          <cell r="D59">
            <v>14163219.140000001</v>
          </cell>
          <cell r="F59" t="str">
            <v>447FERC</v>
          </cell>
          <cell r="G59">
            <v>447</v>
          </cell>
          <cell r="H59" t="str">
            <v>FERC</v>
          </cell>
          <cell r="I59">
            <v>14163219.140000001</v>
          </cell>
          <cell r="L59" t="str">
            <v>151CAEE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447SG</v>
          </cell>
          <cell r="B60">
            <v>447</v>
          </cell>
          <cell r="C60" t="str">
            <v>SG</v>
          </cell>
          <cell r="D60">
            <v>0</v>
          </cell>
          <cell r="F60" t="str">
            <v>447SG</v>
          </cell>
          <cell r="G60">
            <v>447</v>
          </cell>
          <cell r="H60" t="str">
            <v>SG</v>
          </cell>
          <cell r="I60">
            <v>0</v>
          </cell>
          <cell r="L60" t="str">
            <v>151CAEW</v>
          </cell>
          <cell r="M60">
            <v>0</v>
          </cell>
          <cell r="N60">
            <v>0</v>
          </cell>
          <cell r="O60">
            <v>-391569.64152678719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447UT</v>
          </cell>
          <cell r="B61">
            <v>447</v>
          </cell>
          <cell r="C61" t="str">
            <v>UT</v>
          </cell>
          <cell r="D61">
            <v>-78623.41</v>
          </cell>
          <cell r="F61" t="str">
            <v>447UT</v>
          </cell>
          <cell r="G61">
            <v>447</v>
          </cell>
          <cell r="H61" t="str">
            <v>UT</v>
          </cell>
          <cell r="I61">
            <v>-78623.41</v>
          </cell>
          <cell r="L61" t="str">
            <v>151JBE</v>
          </cell>
          <cell r="M61">
            <v>0</v>
          </cell>
          <cell r="N61">
            <v>0</v>
          </cell>
          <cell r="O61">
            <v>-5329646.2140313406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449UT</v>
          </cell>
          <cell r="B62">
            <v>449</v>
          </cell>
          <cell r="C62" t="str">
            <v>UT</v>
          </cell>
          <cell r="D62">
            <v>0</v>
          </cell>
          <cell r="F62" t="str">
            <v>449UT</v>
          </cell>
          <cell r="G62">
            <v>449</v>
          </cell>
          <cell r="H62" t="str">
            <v>UT</v>
          </cell>
          <cell r="I62">
            <v>0</v>
          </cell>
          <cell r="L62" t="str">
            <v>154CAEE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450CA</v>
          </cell>
          <cell r="B63">
            <v>450</v>
          </cell>
          <cell r="C63" t="str">
            <v>CA</v>
          </cell>
          <cell r="D63">
            <v>259356.1</v>
          </cell>
          <cell r="F63" t="str">
            <v>450CA</v>
          </cell>
          <cell r="G63">
            <v>450</v>
          </cell>
          <cell r="H63" t="str">
            <v>CA</v>
          </cell>
          <cell r="I63">
            <v>259356.1</v>
          </cell>
          <cell r="L63" t="str">
            <v>154CAGE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450ID</v>
          </cell>
          <cell r="B64">
            <v>450</v>
          </cell>
          <cell r="C64" t="str">
            <v>ID</v>
          </cell>
          <cell r="D64">
            <v>340922.43</v>
          </cell>
          <cell r="F64" t="str">
            <v>450ID</v>
          </cell>
          <cell r="G64">
            <v>450</v>
          </cell>
          <cell r="H64" t="str">
            <v>ID</v>
          </cell>
          <cell r="I64">
            <v>340922.43</v>
          </cell>
          <cell r="L64" t="str">
            <v>154CAGW</v>
          </cell>
          <cell r="M64">
            <v>0</v>
          </cell>
          <cell r="N64">
            <v>0</v>
          </cell>
          <cell r="O64">
            <v>-1630396.7795833671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450OR</v>
          </cell>
          <cell r="B65">
            <v>450</v>
          </cell>
          <cell r="C65" t="str">
            <v>OR</v>
          </cell>
          <cell r="D65">
            <v>4242721.6399999997</v>
          </cell>
          <cell r="F65" t="str">
            <v>450OR</v>
          </cell>
          <cell r="G65">
            <v>450</v>
          </cell>
          <cell r="H65" t="str">
            <v>OR</v>
          </cell>
          <cell r="I65">
            <v>4242721.6399999997</v>
          </cell>
          <cell r="L65" t="str">
            <v>154JBG</v>
          </cell>
          <cell r="M65">
            <v>0</v>
          </cell>
          <cell r="N65">
            <v>0</v>
          </cell>
          <cell r="O65">
            <v>-1051304.8794040745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450UT</v>
          </cell>
          <cell r="B66">
            <v>450</v>
          </cell>
          <cell r="C66" t="str">
            <v>UT</v>
          </cell>
          <cell r="D66">
            <v>3390503.35</v>
          </cell>
          <cell r="F66" t="str">
            <v>450UT</v>
          </cell>
          <cell r="G66">
            <v>450</v>
          </cell>
          <cell r="H66" t="str">
            <v>UT</v>
          </cell>
          <cell r="I66">
            <v>3390503.35</v>
          </cell>
          <cell r="L66" t="str">
            <v>154S</v>
          </cell>
          <cell r="M66">
            <v>0</v>
          </cell>
          <cell r="N66">
            <v>0</v>
          </cell>
          <cell r="O66">
            <v>-6204807.2320833327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450WA</v>
          </cell>
          <cell r="B67">
            <v>450</v>
          </cell>
          <cell r="C67" t="str">
            <v>WA</v>
          </cell>
          <cell r="D67">
            <v>742400.88</v>
          </cell>
          <cell r="F67" t="str">
            <v>450WA</v>
          </cell>
          <cell r="G67">
            <v>450</v>
          </cell>
          <cell r="H67" t="str">
            <v>WA</v>
          </cell>
          <cell r="I67">
            <v>742400.88</v>
          </cell>
          <cell r="L67" t="str">
            <v>154SG</v>
          </cell>
          <cell r="M67">
            <v>0</v>
          </cell>
          <cell r="N67">
            <v>0</v>
          </cell>
          <cell r="O67">
            <v>-32946.901808023191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450WYP</v>
          </cell>
          <cell r="B68">
            <v>450</v>
          </cell>
          <cell r="C68" t="str">
            <v>WYP</v>
          </cell>
          <cell r="D68">
            <v>547126.66</v>
          </cell>
          <cell r="F68" t="str">
            <v>450WYP</v>
          </cell>
          <cell r="G68">
            <v>450</v>
          </cell>
          <cell r="H68" t="str">
            <v>WYP</v>
          </cell>
          <cell r="I68">
            <v>547126.66</v>
          </cell>
          <cell r="L68" t="str">
            <v>154SNPD</v>
          </cell>
          <cell r="M68">
            <v>0</v>
          </cell>
          <cell r="N68">
            <v>0</v>
          </cell>
          <cell r="O68">
            <v>110019.4883202457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450WYU</v>
          </cell>
          <cell r="B69">
            <v>450</v>
          </cell>
          <cell r="C69" t="str">
            <v>WYU</v>
          </cell>
          <cell r="D69">
            <v>66348.47</v>
          </cell>
          <cell r="F69" t="str">
            <v>450WYU</v>
          </cell>
          <cell r="G69">
            <v>450</v>
          </cell>
          <cell r="H69" t="str">
            <v>WYU</v>
          </cell>
          <cell r="I69">
            <v>66348.47</v>
          </cell>
          <cell r="L69" t="str">
            <v>154SNPPS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451CA</v>
          </cell>
          <cell r="B70">
            <v>451</v>
          </cell>
          <cell r="C70" t="str">
            <v>CA</v>
          </cell>
          <cell r="D70">
            <v>284901.19</v>
          </cell>
          <cell r="F70" t="str">
            <v>451CA</v>
          </cell>
          <cell r="G70">
            <v>451</v>
          </cell>
          <cell r="H70" t="str">
            <v>CA</v>
          </cell>
          <cell r="I70">
            <v>284901.19</v>
          </cell>
          <cell r="L70" t="str">
            <v>154SO</v>
          </cell>
          <cell r="M70">
            <v>0</v>
          </cell>
          <cell r="N70">
            <v>0</v>
          </cell>
          <cell r="O70">
            <v>-9432.1819452376585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451ID</v>
          </cell>
          <cell r="B71">
            <v>451</v>
          </cell>
          <cell r="C71" t="str">
            <v>ID</v>
          </cell>
          <cell r="D71">
            <v>82896.179999999993</v>
          </cell>
          <cell r="F71" t="str">
            <v>451ID</v>
          </cell>
          <cell r="G71">
            <v>451</v>
          </cell>
          <cell r="H71" t="str">
            <v>ID</v>
          </cell>
          <cell r="I71">
            <v>82896.179999999993</v>
          </cell>
          <cell r="L71" t="str">
            <v>165CAEE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451OR</v>
          </cell>
          <cell r="B72">
            <v>451</v>
          </cell>
          <cell r="C72" t="str">
            <v>OR</v>
          </cell>
          <cell r="D72">
            <v>2461734.65</v>
          </cell>
          <cell r="F72" t="str">
            <v>451OR</v>
          </cell>
          <cell r="G72">
            <v>451</v>
          </cell>
          <cell r="H72" t="str">
            <v>OR</v>
          </cell>
          <cell r="I72">
            <v>2461734.65</v>
          </cell>
          <cell r="L72" t="str">
            <v>165CAEW</v>
          </cell>
          <cell r="M72">
            <v>0</v>
          </cell>
          <cell r="N72">
            <v>0</v>
          </cell>
          <cell r="O72">
            <v>-916.05219010188932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451SO</v>
          </cell>
          <cell r="B73">
            <v>451</v>
          </cell>
          <cell r="C73" t="str">
            <v>SO</v>
          </cell>
          <cell r="D73">
            <v>34932.32</v>
          </cell>
          <cell r="F73" t="str">
            <v>451SO</v>
          </cell>
          <cell r="G73">
            <v>451</v>
          </cell>
          <cell r="H73" t="str">
            <v>SO</v>
          </cell>
          <cell r="I73">
            <v>34932.32</v>
          </cell>
          <cell r="L73" t="str">
            <v>165CAGE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451UT</v>
          </cell>
          <cell r="B74">
            <v>451</v>
          </cell>
          <cell r="C74" t="str">
            <v>UT</v>
          </cell>
          <cell r="D74">
            <v>3931041.68</v>
          </cell>
          <cell r="F74" t="str">
            <v>451UT</v>
          </cell>
          <cell r="G74">
            <v>451</v>
          </cell>
          <cell r="H74" t="str">
            <v>UT</v>
          </cell>
          <cell r="I74">
            <v>3931041.68</v>
          </cell>
          <cell r="L74" t="str">
            <v>165CAGW</v>
          </cell>
          <cell r="M74">
            <v>0</v>
          </cell>
          <cell r="N74">
            <v>0</v>
          </cell>
          <cell r="O74">
            <v>-219706.4915348365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451WA</v>
          </cell>
          <cell r="B75">
            <v>451</v>
          </cell>
          <cell r="C75" t="str">
            <v>WA</v>
          </cell>
          <cell r="D75">
            <v>160056.63</v>
          </cell>
          <cell r="F75" t="str">
            <v>451WA</v>
          </cell>
          <cell r="G75">
            <v>451</v>
          </cell>
          <cell r="H75" t="str">
            <v>WA</v>
          </cell>
          <cell r="I75">
            <v>160056.63</v>
          </cell>
          <cell r="L75" t="str">
            <v>165GPS</v>
          </cell>
          <cell r="M75">
            <v>0</v>
          </cell>
          <cell r="N75">
            <v>0</v>
          </cell>
          <cell r="O75">
            <v>-346635.84544681909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451WYP</v>
          </cell>
          <cell r="B76">
            <v>451</v>
          </cell>
          <cell r="C76" t="str">
            <v>WYP</v>
          </cell>
          <cell r="D76">
            <v>272484.86</v>
          </cell>
          <cell r="F76" t="str">
            <v>451WYP</v>
          </cell>
          <cell r="G76">
            <v>451</v>
          </cell>
          <cell r="H76" t="str">
            <v>WYP</v>
          </cell>
          <cell r="I76">
            <v>272484.86</v>
          </cell>
          <cell r="L76" t="str">
            <v>165S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451WYU</v>
          </cell>
          <cell r="B77">
            <v>451</v>
          </cell>
          <cell r="C77" t="str">
            <v>WYU</v>
          </cell>
          <cell r="D77">
            <v>22348.23</v>
          </cell>
          <cell r="F77" t="str">
            <v>451WYU</v>
          </cell>
          <cell r="G77">
            <v>451</v>
          </cell>
          <cell r="H77" t="str">
            <v>WYU</v>
          </cell>
          <cell r="I77">
            <v>22348.23</v>
          </cell>
          <cell r="L77" t="str">
            <v>165SG</v>
          </cell>
          <cell r="M77">
            <v>0</v>
          </cell>
          <cell r="N77">
            <v>0</v>
          </cell>
          <cell r="O77">
            <v>-91914.631766692764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453CAGE</v>
          </cell>
          <cell r="B78">
            <v>453</v>
          </cell>
          <cell r="C78" t="str">
            <v>CAGE</v>
          </cell>
          <cell r="D78">
            <v>44993.35</v>
          </cell>
          <cell r="F78" t="str">
            <v>453CAGE</v>
          </cell>
          <cell r="G78">
            <v>453</v>
          </cell>
          <cell r="H78" t="str">
            <v>CAGE</v>
          </cell>
          <cell r="I78">
            <v>44993.35</v>
          </cell>
          <cell r="L78" t="str">
            <v>165SO</v>
          </cell>
          <cell r="M78">
            <v>0</v>
          </cell>
          <cell r="N78">
            <v>0</v>
          </cell>
          <cell r="O78">
            <v>-1374156.3202758718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453JBG</v>
          </cell>
          <cell r="B79">
            <v>453</v>
          </cell>
          <cell r="C79" t="str">
            <v>JBG</v>
          </cell>
          <cell r="D79">
            <v>13216.84</v>
          </cell>
          <cell r="F79" t="str">
            <v>453JBG</v>
          </cell>
          <cell r="G79">
            <v>453</v>
          </cell>
          <cell r="H79" t="str">
            <v>JBG</v>
          </cell>
          <cell r="I79">
            <v>13216.84</v>
          </cell>
          <cell r="L79" t="str">
            <v>182MCAEE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454CA</v>
          </cell>
          <cell r="B80">
            <v>454</v>
          </cell>
          <cell r="C80" t="str">
            <v>CA</v>
          </cell>
          <cell r="D80">
            <v>561580.97</v>
          </cell>
          <cell r="F80" t="str">
            <v>454CA</v>
          </cell>
          <cell r="G80">
            <v>454</v>
          </cell>
          <cell r="H80" t="str">
            <v>CA</v>
          </cell>
          <cell r="I80">
            <v>561580.97</v>
          </cell>
          <cell r="L80" t="str">
            <v>182MCAGE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454CAGE</v>
          </cell>
          <cell r="B81">
            <v>454</v>
          </cell>
          <cell r="C81" t="str">
            <v>CAGE</v>
          </cell>
          <cell r="D81">
            <v>4031997.35</v>
          </cell>
          <cell r="F81" t="str">
            <v>454CAGE</v>
          </cell>
          <cell r="G81">
            <v>454</v>
          </cell>
          <cell r="H81" t="str">
            <v>CAGE</v>
          </cell>
          <cell r="I81">
            <v>4031997.35</v>
          </cell>
          <cell r="L81" t="str">
            <v>182MS</v>
          </cell>
          <cell r="M81">
            <v>0</v>
          </cell>
          <cell r="N81">
            <v>0</v>
          </cell>
          <cell r="O81">
            <v>141430.18583333335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454CAGW</v>
          </cell>
          <cell r="B82">
            <v>454</v>
          </cell>
          <cell r="C82" t="str">
            <v>CAGW</v>
          </cell>
          <cell r="D82">
            <v>460592.49</v>
          </cell>
          <cell r="F82" t="str">
            <v>454CAGW</v>
          </cell>
          <cell r="G82">
            <v>454</v>
          </cell>
          <cell r="H82" t="str">
            <v>CAGW</v>
          </cell>
          <cell r="I82">
            <v>460592.49</v>
          </cell>
          <cell r="L82" t="str">
            <v>182MSE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454ID</v>
          </cell>
          <cell r="B83">
            <v>454</v>
          </cell>
          <cell r="C83" t="str">
            <v>ID</v>
          </cell>
          <cell r="D83">
            <v>174641.47</v>
          </cell>
          <cell r="F83" t="str">
            <v>454ID</v>
          </cell>
          <cell r="G83">
            <v>454</v>
          </cell>
          <cell r="H83" t="str">
            <v>ID</v>
          </cell>
          <cell r="I83">
            <v>174641.47</v>
          </cell>
          <cell r="L83" t="str">
            <v>182MSO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454JBG</v>
          </cell>
          <cell r="B84">
            <v>454</v>
          </cell>
          <cell r="C84" t="str">
            <v>JBG</v>
          </cell>
          <cell r="D84">
            <v>10223.92</v>
          </cell>
          <cell r="F84" t="str">
            <v>454JBG</v>
          </cell>
          <cell r="G84">
            <v>454</v>
          </cell>
          <cell r="H84" t="str">
            <v>JBG</v>
          </cell>
          <cell r="I84">
            <v>10223.92</v>
          </cell>
          <cell r="L84" t="str">
            <v>186MCAEE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454OR</v>
          </cell>
          <cell r="B85">
            <v>454</v>
          </cell>
          <cell r="C85" t="str">
            <v>OR</v>
          </cell>
          <cell r="D85">
            <v>3723611.22</v>
          </cell>
          <cell r="F85" t="str">
            <v>454OR</v>
          </cell>
          <cell r="G85">
            <v>454</v>
          </cell>
          <cell r="H85" t="str">
            <v>OR</v>
          </cell>
          <cell r="I85">
            <v>3723611.22</v>
          </cell>
          <cell r="L85" t="str">
            <v>186MCAGE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454SG</v>
          </cell>
          <cell r="B86">
            <v>454</v>
          </cell>
          <cell r="C86" t="str">
            <v>SG</v>
          </cell>
          <cell r="D86">
            <v>1397627.55</v>
          </cell>
          <cell r="F86" t="str">
            <v>454SG</v>
          </cell>
          <cell r="G86">
            <v>454</v>
          </cell>
          <cell r="H86" t="str">
            <v>SG</v>
          </cell>
          <cell r="I86">
            <v>1397627.55</v>
          </cell>
          <cell r="L86" t="str">
            <v>186MCAGW</v>
          </cell>
          <cell r="M86">
            <v>0</v>
          </cell>
          <cell r="N86">
            <v>0</v>
          </cell>
          <cell r="O86">
            <v>-3444661.2012056587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454SO</v>
          </cell>
          <cell r="B87">
            <v>454</v>
          </cell>
          <cell r="C87" t="str">
            <v>SO</v>
          </cell>
          <cell r="D87">
            <v>1699945.66</v>
          </cell>
          <cell r="F87" t="str">
            <v>454SO</v>
          </cell>
          <cell r="G87">
            <v>454</v>
          </cell>
          <cell r="H87" t="str">
            <v>SO</v>
          </cell>
          <cell r="I87">
            <v>1699945.66</v>
          </cell>
          <cell r="L87" t="str">
            <v>186MJBE</v>
          </cell>
          <cell r="M87">
            <v>0</v>
          </cell>
          <cell r="N87">
            <v>0</v>
          </cell>
          <cell r="O87">
            <v>430132.48804507143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454UT</v>
          </cell>
          <cell r="B88">
            <v>454</v>
          </cell>
          <cell r="C88" t="str">
            <v>UT</v>
          </cell>
          <cell r="D88">
            <v>3934498.06</v>
          </cell>
          <cell r="F88" t="str">
            <v>454UT</v>
          </cell>
          <cell r="G88">
            <v>454</v>
          </cell>
          <cell r="H88" t="str">
            <v>UT</v>
          </cell>
          <cell r="I88">
            <v>3934498.06</v>
          </cell>
          <cell r="L88" t="str">
            <v>186MSG</v>
          </cell>
          <cell r="M88">
            <v>0</v>
          </cell>
          <cell r="N88">
            <v>0</v>
          </cell>
          <cell r="O88">
            <v>-966988.33187458827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454WA</v>
          </cell>
          <cell r="B89">
            <v>454</v>
          </cell>
          <cell r="C89" t="str">
            <v>WA</v>
          </cell>
          <cell r="D89">
            <v>728890.5</v>
          </cell>
          <cell r="F89" t="str">
            <v>454WA</v>
          </cell>
          <cell r="G89">
            <v>454</v>
          </cell>
          <cell r="H89" t="str">
            <v>WA</v>
          </cell>
          <cell r="I89">
            <v>728890.5</v>
          </cell>
          <cell r="L89" t="str">
            <v>186MSO</v>
          </cell>
          <cell r="M89">
            <v>0</v>
          </cell>
          <cell r="N89">
            <v>0</v>
          </cell>
          <cell r="O89">
            <v>-20750.827684144944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454WYP</v>
          </cell>
          <cell r="B90">
            <v>454</v>
          </cell>
          <cell r="C90" t="str">
            <v>WYP</v>
          </cell>
          <cell r="D90">
            <v>371904.51</v>
          </cell>
          <cell r="F90" t="str">
            <v>454WYP</v>
          </cell>
          <cell r="G90">
            <v>454</v>
          </cell>
          <cell r="H90" t="str">
            <v>WYP</v>
          </cell>
          <cell r="I90">
            <v>371904.51</v>
          </cell>
          <cell r="L90" t="str">
            <v>190CAGW</v>
          </cell>
          <cell r="M90">
            <v>0</v>
          </cell>
          <cell r="N90">
            <v>0</v>
          </cell>
          <cell r="O90">
            <v>21431.330933606649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454WYU</v>
          </cell>
          <cell r="B91">
            <v>454</v>
          </cell>
          <cell r="C91" t="str">
            <v>WYU</v>
          </cell>
          <cell r="D91">
            <v>18315.55</v>
          </cell>
          <cell r="F91" t="str">
            <v>454WYU</v>
          </cell>
          <cell r="G91">
            <v>454</v>
          </cell>
          <cell r="H91" t="str">
            <v>WYU</v>
          </cell>
          <cell r="I91">
            <v>18315.55</v>
          </cell>
          <cell r="L91" t="str">
            <v>190JBG</v>
          </cell>
          <cell r="M91">
            <v>0</v>
          </cell>
          <cell r="N91">
            <v>0</v>
          </cell>
          <cell r="O91">
            <v>746898.84270969837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456CAGE</v>
          </cell>
          <cell r="B92">
            <v>456</v>
          </cell>
          <cell r="C92" t="str">
            <v>CAGE</v>
          </cell>
          <cell r="D92">
            <v>4669396.8</v>
          </cell>
          <cell r="F92" t="str">
            <v>456CAGE</v>
          </cell>
          <cell r="G92">
            <v>456</v>
          </cell>
          <cell r="H92" t="str">
            <v>CAGE</v>
          </cell>
          <cell r="I92">
            <v>4669396.8</v>
          </cell>
          <cell r="L92" t="str">
            <v>190S</v>
          </cell>
          <cell r="M92">
            <v>0</v>
          </cell>
          <cell r="N92">
            <v>0</v>
          </cell>
          <cell r="O92">
            <v>1336807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456CAGW</v>
          </cell>
          <cell r="B93">
            <v>456</v>
          </cell>
          <cell r="C93" t="str">
            <v>CAGW</v>
          </cell>
          <cell r="D93">
            <v>10774132.84</v>
          </cell>
          <cell r="F93" t="str">
            <v>456CAGW</v>
          </cell>
          <cell r="G93">
            <v>456</v>
          </cell>
          <cell r="H93" t="str">
            <v>CAGW</v>
          </cell>
          <cell r="I93">
            <v>10774132.84</v>
          </cell>
          <cell r="L93" t="str">
            <v>190SO</v>
          </cell>
          <cell r="M93">
            <v>0</v>
          </cell>
          <cell r="N93">
            <v>0</v>
          </cell>
          <cell r="O93">
            <v>-917754.64838915446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456JBG</v>
          </cell>
          <cell r="B94">
            <v>456</v>
          </cell>
          <cell r="C94" t="str">
            <v>JBG</v>
          </cell>
          <cell r="D94">
            <v>2326732.92</v>
          </cell>
          <cell r="F94" t="str">
            <v>456JBG</v>
          </cell>
          <cell r="G94">
            <v>456</v>
          </cell>
          <cell r="H94" t="str">
            <v>JBG</v>
          </cell>
          <cell r="I94">
            <v>2326732.92</v>
          </cell>
          <cell r="L94" t="str">
            <v>2282SO</v>
          </cell>
          <cell r="M94">
            <v>0</v>
          </cell>
          <cell r="N94">
            <v>0</v>
          </cell>
          <cell r="O94">
            <v>896257.99095594953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456OR</v>
          </cell>
          <cell r="B95">
            <v>456</v>
          </cell>
          <cell r="C95" t="str">
            <v>OR</v>
          </cell>
          <cell r="D95">
            <v>-4012252.08</v>
          </cell>
          <cell r="F95" t="str">
            <v>456OR</v>
          </cell>
          <cell r="G95">
            <v>456</v>
          </cell>
          <cell r="H95" t="str">
            <v>OR</v>
          </cell>
          <cell r="I95">
            <v>-4012252.08</v>
          </cell>
          <cell r="L95" t="str">
            <v>2283SO</v>
          </cell>
          <cell r="M95">
            <v>0</v>
          </cell>
          <cell r="N95">
            <v>0</v>
          </cell>
          <cell r="O95">
            <v>162553.8700672994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456OTHER</v>
          </cell>
          <cell r="B96">
            <v>456</v>
          </cell>
          <cell r="C96" t="str">
            <v>OTHER</v>
          </cell>
          <cell r="D96">
            <v>13930882.93</v>
          </cell>
          <cell r="F96" t="str">
            <v>456OTHER</v>
          </cell>
          <cell r="G96">
            <v>456</v>
          </cell>
          <cell r="H96" t="str">
            <v>OTHER</v>
          </cell>
          <cell r="I96">
            <v>13930882.93</v>
          </cell>
          <cell r="L96" t="str">
            <v>235S</v>
          </cell>
          <cell r="M96">
            <v>0</v>
          </cell>
          <cell r="N96">
            <v>0</v>
          </cell>
          <cell r="O96">
            <v>-2829106.1541666668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456SG</v>
          </cell>
          <cell r="B97">
            <v>456</v>
          </cell>
          <cell r="C97" t="str">
            <v>SG</v>
          </cell>
          <cell r="D97">
            <v>288236.09999999963</v>
          </cell>
          <cell r="F97" t="str">
            <v>456SG</v>
          </cell>
          <cell r="G97">
            <v>456</v>
          </cell>
          <cell r="H97" t="str">
            <v>SG</v>
          </cell>
          <cell r="I97">
            <v>288236.09999999963</v>
          </cell>
          <cell r="L97" t="str">
            <v>252CAGE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456SO</v>
          </cell>
          <cell r="B98">
            <v>456</v>
          </cell>
          <cell r="C98" t="str">
            <v>SO</v>
          </cell>
          <cell r="D98">
            <v>4091871.71</v>
          </cell>
          <cell r="F98" t="str">
            <v>456SO</v>
          </cell>
          <cell r="G98">
            <v>456</v>
          </cell>
          <cell r="H98" t="str">
            <v>SO</v>
          </cell>
          <cell r="I98">
            <v>4091871.71</v>
          </cell>
          <cell r="L98" t="str">
            <v>252CAGW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456UT</v>
          </cell>
          <cell r="B99">
            <v>456</v>
          </cell>
          <cell r="C99" t="str">
            <v>UT</v>
          </cell>
          <cell r="D99">
            <v>-4464266.5999999996</v>
          </cell>
          <cell r="F99" t="str">
            <v>456UT</v>
          </cell>
          <cell r="G99">
            <v>456</v>
          </cell>
          <cell r="H99" t="str">
            <v>UT</v>
          </cell>
          <cell r="I99">
            <v>-4464266.5999999996</v>
          </cell>
          <cell r="L99" t="str">
            <v>252S</v>
          </cell>
          <cell r="M99">
            <v>0</v>
          </cell>
          <cell r="N99">
            <v>0</v>
          </cell>
          <cell r="O99">
            <v>-423222.40666666673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456WA</v>
          </cell>
          <cell r="B100">
            <v>456</v>
          </cell>
          <cell r="C100" t="str">
            <v>WA</v>
          </cell>
          <cell r="D100">
            <v>-52188</v>
          </cell>
          <cell r="F100" t="str">
            <v>456WA</v>
          </cell>
          <cell r="G100">
            <v>456</v>
          </cell>
          <cell r="H100" t="str">
            <v>WA</v>
          </cell>
          <cell r="I100">
            <v>-52188</v>
          </cell>
          <cell r="L100" t="str">
            <v>252SG</v>
          </cell>
          <cell r="M100">
            <v>0</v>
          </cell>
          <cell r="N100">
            <v>0</v>
          </cell>
          <cell r="O100">
            <v>-2078805.8700436687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456WRE</v>
          </cell>
          <cell r="B101">
            <v>456</v>
          </cell>
          <cell r="C101" t="str">
            <v>WRE</v>
          </cell>
          <cell r="D101">
            <v>17028845.030000001</v>
          </cell>
          <cell r="F101" t="str">
            <v>456WRE</v>
          </cell>
          <cell r="G101">
            <v>456</v>
          </cell>
          <cell r="H101" t="str">
            <v>WRE</v>
          </cell>
          <cell r="I101">
            <v>17028845.030000001</v>
          </cell>
          <cell r="L101" t="str">
            <v>25318CAGE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456WRG</v>
          </cell>
          <cell r="B102">
            <v>456</v>
          </cell>
          <cell r="C102" t="str">
            <v>WRG</v>
          </cell>
          <cell r="D102">
            <v>98283087.730000004</v>
          </cell>
          <cell r="F102" t="str">
            <v>456WRG</v>
          </cell>
          <cell r="G102">
            <v>456</v>
          </cell>
          <cell r="H102" t="str">
            <v>WRG</v>
          </cell>
          <cell r="I102">
            <v>98283087.730000004</v>
          </cell>
          <cell r="L102" t="str">
            <v>254CAGW</v>
          </cell>
          <cell r="M102">
            <v>0</v>
          </cell>
          <cell r="N102">
            <v>0</v>
          </cell>
          <cell r="O102">
            <v>-87168.730043882126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456WYP</v>
          </cell>
          <cell r="B103">
            <v>456</v>
          </cell>
          <cell r="C103" t="str">
            <v>WYP</v>
          </cell>
          <cell r="D103">
            <v>186853.62</v>
          </cell>
          <cell r="F103" t="str">
            <v>456WYP</v>
          </cell>
          <cell r="G103">
            <v>456</v>
          </cell>
          <cell r="H103" t="str">
            <v>WYP</v>
          </cell>
          <cell r="I103">
            <v>186853.62</v>
          </cell>
          <cell r="L103" t="str">
            <v>254JBG</v>
          </cell>
          <cell r="M103">
            <v>0</v>
          </cell>
          <cell r="N103">
            <v>0</v>
          </cell>
          <cell r="O103">
            <v>-3037826.5434690067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500CAGE</v>
          </cell>
          <cell r="B104">
            <v>500</v>
          </cell>
          <cell r="C104" t="str">
            <v>CAGE</v>
          </cell>
          <cell r="D104">
            <v>3522311.33</v>
          </cell>
          <cell r="F104" t="str">
            <v>500CAGE</v>
          </cell>
          <cell r="G104">
            <v>500</v>
          </cell>
          <cell r="H104" t="str">
            <v>CAGE</v>
          </cell>
          <cell r="I104">
            <v>3522311.33</v>
          </cell>
          <cell r="L104" t="str">
            <v>254OTHER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500CAGW</v>
          </cell>
          <cell r="B105">
            <v>500</v>
          </cell>
          <cell r="C105" t="str">
            <v>CAGW</v>
          </cell>
          <cell r="D105">
            <v>33946.01</v>
          </cell>
          <cell r="F105" t="str">
            <v>500CAGW</v>
          </cell>
          <cell r="G105">
            <v>500</v>
          </cell>
          <cell r="H105" t="str">
            <v>CAGW</v>
          </cell>
          <cell r="I105">
            <v>33946.01</v>
          </cell>
          <cell r="L105" t="str">
            <v>254S</v>
          </cell>
          <cell r="M105">
            <v>0</v>
          </cell>
          <cell r="N105">
            <v>0</v>
          </cell>
          <cell r="O105">
            <v>-13440196.820000019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500JBG</v>
          </cell>
          <cell r="B106">
            <v>500</v>
          </cell>
          <cell r="C106" t="str">
            <v>JBG</v>
          </cell>
          <cell r="D106">
            <v>14029901.710000001</v>
          </cell>
          <cell r="F106" t="str">
            <v>500JBG</v>
          </cell>
          <cell r="G106">
            <v>500</v>
          </cell>
          <cell r="H106" t="str">
            <v>JBG</v>
          </cell>
          <cell r="I106">
            <v>14029901.710000001</v>
          </cell>
          <cell r="L106" t="str">
            <v>255ITC85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500SG</v>
          </cell>
          <cell r="B107">
            <v>500</v>
          </cell>
          <cell r="C107" t="str">
            <v>SG</v>
          </cell>
          <cell r="D107">
            <v>473385.53</v>
          </cell>
          <cell r="F107" t="str">
            <v>500SG</v>
          </cell>
          <cell r="G107">
            <v>500</v>
          </cell>
          <cell r="H107" t="str">
            <v>SG</v>
          </cell>
          <cell r="I107">
            <v>473385.53</v>
          </cell>
          <cell r="L107" t="str">
            <v>282CAEE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501CA</v>
          </cell>
          <cell r="B108">
            <v>501</v>
          </cell>
          <cell r="C108" t="str">
            <v>CA</v>
          </cell>
          <cell r="D108">
            <v>-166735.31</v>
          </cell>
          <cell r="F108" t="str">
            <v>501CA</v>
          </cell>
          <cell r="G108">
            <v>501</v>
          </cell>
          <cell r="H108" t="str">
            <v>CA</v>
          </cell>
          <cell r="I108">
            <v>-166735.31</v>
          </cell>
          <cell r="L108" t="str">
            <v>282CAGE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501CAEE</v>
          </cell>
          <cell r="B109">
            <v>501</v>
          </cell>
          <cell r="C109" t="str">
            <v>CAEE</v>
          </cell>
          <cell r="D109">
            <v>21705579.760000002</v>
          </cell>
          <cell r="F109" t="str">
            <v>501CAEE</v>
          </cell>
          <cell r="G109">
            <v>501</v>
          </cell>
          <cell r="H109" t="str">
            <v>CAEE</v>
          </cell>
          <cell r="I109">
            <v>21705579.760000002</v>
          </cell>
          <cell r="L109" t="str">
            <v>282CAGW</v>
          </cell>
          <cell r="M109">
            <v>0</v>
          </cell>
          <cell r="N109">
            <v>0</v>
          </cell>
          <cell r="O109">
            <v>2106041.2169198859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501CAGW</v>
          </cell>
          <cell r="B110">
            <v>501</v>
          </cell>
          <cell r="C110" t="str">
            <v>CAGW</v>
          </cell>
          <cell r="D110">
            <v>1437814.75</v>
          </cell>
          <cell r="F110" t="str">
            <v>501CAGW</v>
          </cell>
          <cell r="G110">
            <v>501</v>
          </cell>
          <cell r="H110" t="str">
            <v>CAGW</v>
          </cell>
          <cell r="I110">
            <v>1437814.75</v>
          </cell>
          <cell r="L110" t="str">
            <v>282CIAC</v>
          </cell>
          <cell r="M110">
            <v>0</v>
          </cell>
          <cell r="N110">
            <v>0</v>
          </cell>
          <cell r="O110">
            <v>-2317.8953510497254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501JBE</v>
          </cell>
          <cell r="B111">
            <v>501</v>
          </cell>
          <cell r="C111" t="str">
            <v>JBE</v>
          </cell>
          <cell r="D111">
            <v>2911612.51</v>
          </cell>
          <cell r="F111" t="str">
            <v>501JBE</v>
          </cell>
          <cell r="G111">
            <v>501</v>
          </cell>
          <cell r="H111" t="str">
            <v>JBE</v>
          </cell>
          <cell r="I111">
            <v>2911612.51</v>
          </cell>
          <cell r="L111" t="str">
            <v>282CN</v>
          </cell>
          <cell r="M111">
            <v>0</v>
          </cell>
          <cell r="N111">
            <v>0</v>
          </cell>
          <cell r="O111">
            <v>6215.2208663573483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501OR</v>
          </cell>
          <cell r="B112">
            <v>501</v>
          </cell>
          <cell r="C112" t="str">
            <v>OR</v>
          </cell>
          <cell r="D112">
            <v>1881937.13</v>
          </cell>
          <cell r="F112" t="str">
            <v>501OR</v>
          </cell>
          <cell r="G112">
            <v>501</v>
          </cell>
          <cell r="H112" t="str">
            <v>OR</v>
          </cell>
          <cell r="I112">
            <v>1881937.13</v>
          </cell>
          <cell r="L112" t="str">
            <v>282JBG</v>
          </cell>
          <cell r="M112">
            <v>0</v>
          </cell>
          <cell r="N112">
            <v>0</v>
          </cell>
          <cell r="O112">
            <v>9085740.3363027964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501SE</v>
          </cell>
          <cell r="B113">
            <v>501</v>
          </cell>
          <cell r="C113" t="str">
            <v>SE</v>
          </cell>
          <cell r="D113">
            <v>-179888.63</v>
          </cell>
          <cell r="F113" t="str">
            <v>501SE</v>
          </cell>
          <cell r="G113">
            <v>501</v>
          </cell>
          <cell r="H113" t="str">
            <v>SE</v>
          </cell>
          <cell r="I113">
            <v>-179888.63</v>
          </cell>
          <cell r="L113" t="str">
            <v>282S</v>
          </cell>
          <cell r="M113">
            <v>0</v>
          </cell>
          <cell r="N113">
            <v>0</v>
          </cell>
          <cell r="O113">
            <v>30406511.898300052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501WYP</v>
          </cell>
          <cell r="B114">
            <v>501</v>
          </cell>
          <cell r="C114" t="str">
            <v>WYP</v>
          </cell>
          <cell r="D114">
            <v>779191.23</v>
          </cell>
          <cell r="F114" t="str">
            <v>501WYP</v>
          </cell>
          <cell r="G114">
            <v>501</v>
          </cell>
          <cell r="H114" t="str">
            <v>WYP</v>
          </cell>
          <cell r="I114">
            <v>779191.23</v>
          </cell>
          <cell r="L114" t="str">
            <v>282SG</v>
          </cell>
          <cell r="M114">
            <v>0</v>
          </cell>
          <cell r="N114">
            <v>0</v>
          </cell>
          <cell r="O114">
            <v>-7124540.8588520531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502CAGE</v>
          </cell>
          <cell r="B115">
            <v>502</v>
          </cell>
          <cell r="C115" t="str">
            <v>CAGE</v>
          </cell>
          <cell r="D115">
            <v>60427742.479999997</v>
          </cell>
          <cell r="F115" t="str">
            <v>502CAGE</v>
          </cell>
          <cell r="G115">
            <v>502</v>
          </cell>
          <cell r="H115" t="str">
            <v>CAGE</v>
          </cell>
          <cell r="I115">
            <v>60427742.479999997</v>
          </cell>
          <cell r="L115" t="str">
            <v>282SNP</v>
          </cell>
          <cell r="M115">
            <v>0</v>
          </cell>
          <cell r="N115">
            <v>0</v>
          </cell>
          <cell r="O115">
            <v>163378.7787528128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502CAGW</v>
          </cell>
          <cell r="B116">
            <v>502</v>
          </cell>
          <cell r="C116" t="str">
            <v>CAGW</v>
          </cell>
          <cell r="D116">
            <v>1050663.23</v>
          </cell>
          <cell r="F116" t="str">
            <v>502CAGW</v>
          </cell>
          <cell r="G116">
            <v>502</v>
          </cell>
          <cell r="H116" t="str">
            <v>CAGW</v>
          </cell>
          <cell r="I116">
            <v>1050663.23</v>
          </cell>
          <cell r="L116" t="str">
            <v>282SNPD</v>
          </cell>
          <cell r="M116">
            <v>0</v>
          </cell>
          <cell r="N116">
            <v>0</v>
          </cell>
          <cell r="O116">
            <v>26126.062735568285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502JBG</v>
          </cell>
          <cell r="B117">
            <v>502</v>
          </cell>
          <cell r="C117" t="str">
            <v>JBG</v>
          </cell>
          <cell r="D117">
            <v>20769697.149999999</v>
          </cell>
          <cell r="F117" t="str">
            <v>502JBG</v>
          </cell>
          <cell r="G117">
            <v>502</v>
          </cell>
          <cell r="H117" t="str">
            <v>JBG</v>
          </cell>
          <cell r="I117">
            <v>20769697.149999999</v>
          </cell>
          <cell r="L117" t="str">
            <v>282SO</v>
          </cell>
          <cell r="M117">
            <v>0</v>
          </cell>
          <cell r="N117">
            <v>0</v>
          </cell>
          <cell r="O117">
            <v>-141346.95084184286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505CAGE</v>
          </cell>
          <cell r="B118">
            <v>505</v>
          </cell>
          <cell r="C118" t="str">
            <v>CAGE</v>
          </cell>
          <cell r="D118">
            <v>1521960.17</v>
          </cell>
          <cell r="F118" t="str">
            <v>505CAGE</v>
          </cell>
          <cell r="G118">
            <v>505</v>
          </cell>
          <cell r="H118" t="str">
            <v>CAGE</v>
          </cell>
          <cell r="I118">
            <v>1521960.17</v>
          </cell>
          <cell r="L118" t="str">
            <v>283S</v>
          </cell>
          <cell r="M118">
            <v>0</v>
          </cell>
          <cell r="N118">
            <v>0</v>
          </cell>
          <cell r="O118">
            <v>-391087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505CAGW</v>
          </cell>
          <cell r="B119">
            <v>505</v>
          </cell>
          <cell r="C119" t="str">
            <v>CAGW</v>
          </cell>
          <cell r="D119">
            <v>45022.03</v>
          </cell>
          <cell r="F119" t="str">
            <v>505CAGW</v>
          </cell>
          <cell r="G119">
            <v>505</v>
          </cell>
          <cell r="H119" t="str">
            <v>CAGW</v>
          </cell>
          <cell r="I119">
            <v>45022.03</v>
          </cell>
          <cell r="L119" t="str">
            <v>283SO</v>
          </cell>
          <cell r="M119">
            <v>0</v>
          </cell>
          <cell r="N119">
            <v>0</v>
          </cell>
          <cell r="O119">
            <v>1391835.8916528141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505JBG</v>
          </cell>
          <cell r="B120">
            <v>505</v>
          </cell>
          <cell r="C120" t="str">
            <v>JBG</v>
          </cell>
          <cell r="D120">
            <v>0</v>
          </cell>
          <cell r="F120" t="str">
            <v>505JBG</v>
          </cell>
          <cell r="G120">
            <v>505</v>
          </cell>
          <cell r="H120" t="str">
            <v>JBG</v>
          </cell>
          <cell r="I120">
            <v>0</v>
          </cell>
          <cell r="L120" t="str">
            <v>302CAGW</v>
          </cell>
          <cell r="M120">
            <v>0</v>
          </cell>
          <cell r="N120">
            <v>0</v>
          </cell>
          <cell r="O120">
            <v>-32659.758517350052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506CAGE</v>
          </cell>
          <cell r="B121">
            <v>506</v>
          </cell>
          <cell r="C121" t="str">
            <v>CAGE</v>
          </cell>
          <cell r="D121">
            <v>50198289.149999999</v>
          </cell>
          <cell r="F121" t="str">
            <v>506CAGE</v>
          </cell>
          <cell r="G121">
            <v>506</v>
          </cell>
          <cell r="H121" t="str">
            <v>CAGE</v>
          </cell>
          <cell r="I121">
            <v>50198289.149999999</v>
          </cell>
          <cell r="L121" t="str">
            <v>303CAEE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506CAGW</v>
          </cell>
          <cell r="B122">
            <v>506</v>
          </cell>
          <cell r="C122" t="str">
            <v>CAGW</v>
          </cell>
          <cell r="D122">
            <v>2030213.14</v>
          </cell>
          <cell r="F122" t="str">
            <v>506CAGW</v>
          </cell>
          <cell r="G122">
            <v>506</v>
          </cell>
          <cell r="H122" t="str">
            <v>CAGW</v>
          </cell>
          <cell r="I122">
            <v>2030213.14</v>
          </cell>
          <cell r="L122" t="str">
            <v>303CAGE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506JBG</v>
          </cell>
          <cell r="B123">
            <v>506</v>
          </cell>
          <cell r="C123" t="str">
            <v>JBG</v>
          </cell>
          <cell r="D123">
            <v>-22980645.129999999</v>
          </cell>
          <cell r="F123" t="str">
            <v>506JBG</v>
          </cell>
          <cell r="G123">
            <v>506</v>
          </cell>
          <cell r="H123" t="str">
            <v>JBG</v>
          </cell>
          <cell r="I123">
            <v>-22980645.129999999</v>
          </cell>
          <cell r="L123" t="str">
            <v>303CAGW</v>
          </cell>
          <cell r="M123">
            <v>0</v>
          </cell>
          <cell r="N123">
            <v>0</v>
          </cell>
          <cell r="O123">
            <v>-22697690.412234206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507CAGE</v>
          </cell>
          <cell r="B124">
            <v>507</v>
          </cell>
          <cell r="C124" t="str">
            <v>CAGE</v>
          </cell>
          <cell r="D124">
            <v>164337.26</v>
          </cell>
          <cell r="F124" t="str">
            <v>507CAGE</v>
          </cell>
          <cell r="G124">
            <v>507</v>
          </cell>
          <cell r="H124" t="str">
            <v>CAGE</v>
          </cell>
          <cell r="I124">
            <v>164337.26</v>
          </cell>
          <cell r="L124" t="str">
            <v>303CN</v>
          </cell>
          <cell r="M124">
            <v>0</v>
          </cell>
          <cell r="N124">
            <v>0</v>
          </cell>
          <cell r="O124">
            <v>350386.43139628507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507CAGW</v>
          </cell>
          <cell r="B125">
            <v>507</v>
          </cell>
          <cell r="C125" t="str">
            <v>CAGW</v>
          </cell>
          <cell r="D125">
            <v>22588.94</v>
          </cell>
          <cell r="F125" t="str">
            <v>507CAGW</v>
          </cell>
          <cell r="G125">
            <v>507</v>
          </cell>
          <cell r="H125" t="str">
            <v>CAGW</v>
          </cell>
          <cell r="I125">
            <v>22588.94</v>
          </cell>
          <cell r="L125" t="str">
            <v>303JBG</v>
          </cell>
          <cell r="M125">
            <v>0</v>
          </cell>
          <cell r="N125">
            <v>0</v>
          </cell>
          <cell r="O125">
            <v>312.17343050488063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507JBG</v>
          </cell>
          <cell r="B126">
            <v>507</v>
          </cell>
          <cell r="C126" t="str">
            <v>JBG</v>
          </cell>
          <cell r="D126">
            <v>328909.01</v>
          </cell>
          <cell r="F126" t="str">
            <v>507JBG</v>
          </cell>
          <cell r="G126">
            <v>507</v>
          </cell>
          <cell r="H126" t="str">
            <v>JBG</v>
          </cell>
          <cell r="I126">
            <v>328909.01</v>
          </cell>
          <cell r="L126" t="str">
            <v>303S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510CAGE</v>
          </cell>
          <cell r="B127">
            <v>510</v>
          </cell>
          <cell r="C127" t="str">
            <v>CAGE</v>
          </cell>
          <cell r="D127">
            <v>7034477.0099999998</v>
          </cell>
          <cell r="F127" t="str">
            <v>510CAGE</v>
          </cell>
          <cell r="G127">
            <v>510</v>
          </cell>
          <cell r="H127" t="str">
            <v>CAGE</v>
          </cell>
          <cell r="I127">
            <v>7034477.0099999998</v>
          </cell>
          <cell r="L127" t="str">
            <v>303SG</v>
          </cell>
          <cell r="M127">
            <v>0</v>
          </cell>
          <cell r="N127">
            <v>0</v>
          </cell>
          <cell r="O127">
            <v>8989349.1898975149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510CAGW</v>
          </cell>
          <cell r="B128">
            <v>510</v>
          </cell>
          <cell r="C128" t="str">
            <v>CAGW</v>
          </cell>
          <cell r="D128">
            <v>257325.24</v>
          </cell>
          <cell r="F128" t="str">
            <v>510CAGW</v>
          </cell>
          <cell r="G128">
            <v>510</v>
          </cell>
          <cell r="H128" t="str">
            <v>CAGW</v>
          </cell>
          <cell r="I128">
            <v>257325.24</v>
          </cell>
          <cell r="L128" t="str">
            <v>303SO</v>
          </cell>
          <cell r="M128">
            <v>0</v>
          </cell>
          <cell r="N128">
            <v>0</v>
          </cell>
          <cell r="O128">
            <v>1321332.5895274319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510JBG</v>
          </cell>
          <cell r="B129">
            <v>510</v>
          </cell>
          <cell r="C129" t="str">
            <v>JBG</v>
          </cell>
          <cell r="D129">
            <v>798563.52</v>
          </cell>
          <cell r="F129" t="str">
            <v>510JBG</v>
          </cell>
          <cell r="G129">
            <v>510</v>
          </cell>
          <cell r="H129" t="str">
            <v>JBG</v>
          </cell>
          <cell r="I129">
            <v>798563.52</v>
          </cell>
          <cell r="L129" t="str">
            <v>310CAGE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511CAGE</v>
          </cell>
          <cell r="B130">
            <v>511</v>
          </cell>
          <cell r="C130" t="str">
            <v>CAGE</v>
          </cell>
          <cell r="D130">
            <v>15625951.220000001</v>
          </cell>
          <cell r="F130" t="str">
            <v>511CAGE</v>
          </cell>
          <cell r="G130">
            <v>511</v>
          </cell>
          <cell r="H130" t="str">
            <v>CAGE</v>
          </cell>
          <cell r="I130">
            <v>15625951.220000001</v>
          </cell>
          <cell r="L130" t="str">
            <v>311CAGE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511CAGW</v>
          </cell>
          <cell r="B131">
            <v>511</v>
          </cell>
          <cell r="C131" t="str">
            <v>CAGW</v>
          </cell>
          <cell r="D131">
            <v>341056.22</v>
          </cell>
          <cell r="F131" t="str">
            <v>511CAGW</v>
          </cell>
          <cell r="G131">
            <v>511</v>
          </cell>
          <cell r="H131" t="str">
            <v>CAGW</v>
          </cell>
          <cell r="I131">
            <v>341056.22</v>
          </cell>
          <cell r="L131" t="str">
            <v>311CAGW</v>
          </cell>
          <cell r="M131">
            <v>0</v>
          </cell>
          <cell r="N131">
            <v>0</v>
          </cell>
          <cell r="O131">
            <v>28619.657891841922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511JBG</v>
          </cell>
          <cell r="B132">
            <v>511</v>
          </cell>
          <cell r="C132" t="str">
            <v>JBG</v>
          </cell>
          <cell r="D132">
            <v>10822809.84</v>
          </cell>
          <cell r="F132" t="str">
            <v>511JBG</v>
          </cell>
          <cell r="G132">
            <v>511</v>
          </cell>
          <cell r="H132" t="str">
            <v>JBG</v>
          </cell>
          <cell r="I132">
            <v>10822809.84</v>
          </cell>
          <cell r="L132" t="str">
            <v>311JBG</v>
          </cell>
          <cell r="M132">
            <v>0</v>
          </cell>
          <cell r="N132">
            <v>0</v>
          </cell>
          <cell r="O132">
            <v>177301.12140699168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512CAGE</v>
          </cell>
          <cell r="B133">
            <v>512</v>
          </cell>
          <cell r="C133" t="str">
            <v>CAGE</v>
          </cell>
          <cell r="D133">
            <v>68437184.060000002</v>
          </cell>
          <cell r="F133" t="str">
            <v>512CAGE</v>
          </cell>
          <cell r="G133">
            <v>512</v>
          </cell>
          <cell r="H133" t="str">
            <v>CAGE</v>
          </cell>
          <cell r="I133">
            <v>68437184.060000002</v>
          </cell>
          <cell r="L133" t="str">
            <v>312CAGE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512CAGW</v>
          </cell>
          <cell r="B134">
            <v>512</v>
          </cell>
          <cell r="C134" t="str">
            <v>CAGW</v>
          </cell>
          <cell r="D134">
            <v>2583544.62</v>
          </cell>
          <cell r="F134" t="str">
            <v>512CAGW</v>
          </cell>
          <cell r="G134">
            <v>512</v>
          </cell>
          <cell r="H134" t="str">
            <v>CAGW</v>
          </cell>
          <cell r="I134">
            <v>2583544.62</v>
          </cell>
          <cell r="L134" t="str">
            <v>312CAGW</v>
          </cell>
          <cell r="M134">
            <v>0</v>
          </cell>
          <cell r="N134">
            <v>0</v>
          </cell>
          <cell r="O134">
            <v>-25769703.209281534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512JBG</v>
          </cell>
          <cell r="B135">
            <v>512</v>
          </cell>
          <cell r="C135" t="str">
            <v>JBG</v>
          </cell>
          <cell r="D135">
            <v>24478364.129999999</v>
          </cell>
          <cell r="F135" t="str">
            <v>512JBG</v>
          </cell>
          <cell r="G135">
            <v>512</v>
          </cell>
          <cell r="H135" t="str">
            <v>JBG</v>
          </cell>
          <cell r="I135">
            <v>24478364.129999999</v>
          </cell>
          <cell r="L135" t="str">
            <v>312JBG</v>
          </cell>
          <cell r="M135">
            <v>0</v>
          </cell>
          <cell r="N135">
            <v>0</v>
          </cell>
          <cell r="O135">
            <v>-44092851.180969127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513CAGE</v>
          </cell>
          <cell r="B136">
            <v>513</v>
          </cell>
          <cell r="C136" t="str">
            <v>CAGE</v>
          </cell>
          <cell r="D136">
            <v>27864186.109999999</v>
          </cell>
          <cell r="F136" t="str">
            <v>513CAGE</v>
          </cell>
          <cell r="G136">
            <v>513</v>
          </cell>
          <cell r="H136" t="str">
            <v>CAGE</v>
          </cell>
          <cell r="I136">
            <v>27864186.109999999</v>
          </cell>
          <cell r="L136" t="str">
            <v>312S</v>
          </cell>
          <cell r="M136">
            <v>0</v>
          </cell>
          <cell r="N136">
            <v>0</v>
          </cell>
          <cell r="O136">
            <v>-119616.25699999859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513CAGW</v>
          </cell>
          <cell r="B137">
            <v>513</v>
          </cell>
          <cell r="C137" t="str">
            <v>CAGW</v>
          </cell>
          <cell r="D137">
            <v>53233.97</v>
          </cell>
          <cell r="F137" t="str">
            <v>513CAGW</v>
          </cell>
          <cell r="G137">
            <v>513</v>
          </cell>
          <cell r="H137" t="str">
            <v>CAGW</v>
          </cell>
          <cell r="I137">
            <v>53233.97</v>
          </cell>
          <cell r="L137" t="str">
            <v>312SG</v>
          </cell>
          <cell r="M137">
            <v>0</v>
          </cell>
          <cell r="N137">
            <v>0</v>
          </cell>
          <cell r="O137">
            <v>12254273.458731979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513JBG</v>
          </cell>
          <cell r="B138">
            <v>513</v>
          </cell>
          <cell r="C138" t="str">
            <v>JBG</v>
          </cell>
          <cell r="D138">
            <v>7962913.3200000003</v>
          </cell>
          <cell r="F138" t="str">
            <v>513JBG</v>
          </cell>
          <cell r="G138">
            <v>513</v>
          </cell>
          <cell r="H138" t="str">
            <v>JBG</v>
          </cell>
          <cell r="I138">
            <v>7962913.3200000003</v>
          </cell>
          <cell r="L138" t="str">
            <v>314CAGE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514CAGE</v>
          </cell>
          <cell r="B139">
            <v>514</v>
          </cell>
          <cell r="C139" t="str">
            <v>CAGE</v>
          </cell>
          <cell r="D139">
            <v>6884438.4500000002</v>
          </cell>
          <cell r="F139" t="str">
            <v>514CAGE</v>
          </cell>
          <cell r="G139">
            <v>514</v>
          </cell>
          <cell r="H139" t="str">
            <v>CAGE</v>
          </cell>
          <cell r="I139">
            <v>6884438.4500000002</v>
          </cell>
          <cell r="L139" t="str">
            <v>314CAGW</v>
          </cell>
          <cell r="M139">
            <v>0</v>
          </cell>
          <cell r="N139">
            <v>0</v>
          </cell>
          <cell r="O139">
            <v>-15657.34077151117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514CAGW</v>
          </cell>
          <cell r="B140">
            <v>514</v>
          </cell>
          <cell r="C140" t="str">
            <v>CAGW</v>
          </cell>
          <cell r="D140">
            <v>420100.26</v>
          </cell>
          <cell r="F140" t="str">
            <v>514CAGW</v>
          </cell>
          <cell r="G140">
            <v>514</v>
          </cell>
          <cell r="H140" t="str">
            <v>CAGW</v>
          </cell>
          <cell r="I140">
            <v>420100.26</v>
          </cell>
          <cell r="L140" t="str">
            <v>314JBG</v>
          </cell>
          <cell r="M140">
            <v>0</v>
          </cell>
          <cell r="N140">
            <v>0</v>
          </cell>
          <cell r="O140">
            <v>95631.16506100382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514JBG</v>
          </cell>
          <cell r="B141">
            <v>514</v>
          </cell>
          <cell r="C141" t="str">
            <v>JBG</v>
          </cell>
          <cell r="D141">
            <v>2095006.98</v>
          </cell>
          <cell r="F141" t="str">
            <v>514JBG</v>
          </cell>
          <cell r="G141">
            <v>514</v>
          </cell>
          <cell r="H141" t="str">
            <v>JBG</v>
          </cell>
          <cell r="I141">
            <v>2095006.98</v>
          </cell>
          <cell r="L141" t="str">
            <v>315CAGE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514SO</v>
          </cell>
          <cell r="B142">
            <v>514</v>
          </cell>
          <cell r="C142" t="str">
            <v>SO</v>
          </cell>
          <cell r="D142">
            <v>0</v>
          </cell>
          <cell r="F142" t="str">
            <v>514SO</v>
          </cell>
          <cell r="G142">
            <v>514</v>
          </cell>
          <cell r="H142" t="str">
            <v>SO</v>
          </cell>
          <cell r="I142">
            <v>0</v>
          </cell>
          <cell r="L142" t="str">
            <v>315CAGW</v>
          </cell>
          <cell r="M142">
            <v>0</v>
          </cell>
          <cell r="N142">
            <v>0</v>
          </cell>
          <cell r="O142">
            <v>3381.6954243303348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535CAGE</v>
          </cell>
          <cell r="B143">
            <v>535</v>
          </cell>
          <cell r="C143" t="str">
            <v>CAGE</v>
          </cell>
          <cell r="D143">
            <v>823133.14</v>
          </cell>
          <cell r="F143" t="str">
            <v>535CAGE</v>
          </cell>
          <cell r="G143">
            <v>535</v>
          </cell>
          <cell r="H143" t="str">
            <v>CAGE</v>
          </cell>
          <cell r="I143">
            <v>823133.14</v>
          </cell>
          <cell r="L143" t="str">
            <v>315JBG</v>
          </cell>
          <cell r="M143">
            <v>0</v>
          </cell>
          <cell r="N143">
            <v>0</v>
          </cell>
          <cell r="O143">
            <v>23659.144708888369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535CAGW</v>
          </cell>
          <cell r="B144">
            <v>535</v>
          </cell>
          <cell r="C144" t="str">
            <v>CAGW</v>
          </cell>
          <cell r="D144">
            <v>7989291.4299999997</v>
          </cell>
          <cell r="F144" t="str">
            <v>535CAGW</v>
          </cell>
          <cell r="G144">
            <v>535</v>
          </cell>
          <cell r="H144" t="str">
            <v>CAGW</v>
          </cell>
          <cell r="I144">
            <v>7989291.4299999997</v>
          </cell>
          <cell r="L144" t="str">
            <v>316CAGE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536CAGW</v>
          </cell>
          <cell r="B145">
            <v>536</v>
          </cell>
          <cell r="C145" t="str">
            <v>CAGW</v>
          </cell>
          <cell r="D145">
            <v>39246.61</v>
          </cell>
          <cell r="F145" t="str">
            <v>536CAGW</v>
          </cell>
          <cell r="G145">
            <v>536</v>
          </cell>
          <cell r="H145" t="str">
            <v>CAGW</v>
          </cell>
          <cell r="I145">
            <v>39246.61</v>
          </cell>
          <cell r="L145" t="str">
            <v>316CAGW</v>
          </cell>
          <cell r="M145">
            <v>0</v>
          </cell>
          <cell r="N145">
            <v>0</v>
          </cell>
          <cell r="O145">
            <v>2978.4361222285161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537CAGE</v>
          </cell>
          <cell r="B146">
            <v>537</v>
          </cell>
          <cell r="C146" t="str">
            <v>CAGE</v>
          </cell>
          <cell r="D146">
            <v>432676.96</v>
          </cell>
          <cell r="F146" t="str">
            <v>537CAGE</v>
          </cell>
          <cell r="G146">
            <v>537</v>
          </cell>
          <cell r="H146" t="str">
            <v>CAGE</v>
          </cell>
          <cell r="I146">
            <v>432676.96</v>
          </cell>
          <cell r="L146" t="str">
            <v>316JBG</v>
          </cell>
          <cell r="M146">
            <v>0</v>
          </cell>
          <cell r="N146">
            <v>0</v>
          </cell>
          <cell r="O146">
            <v>-32.684951778691769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537CAGW</v>
          </cell>
          <cell r="B147">
            <v>537</v>
          </cell>
          <cell r="C147" t="str">
            <v>CAGW</v>
          </cell>
          <cell r="D147">
            <v>4009325.9</v>
          </cell>
          <cell r="F147" t="str">
            <v>537CAGW</v>
          </cell>
          <cell r="G147">
            <v>537</v>
          </cell>
          <cell r="H147" t="str">
            <v>CAGW</v>
          </cell>
          <cell r="I147">
            <v>4009325.9</v>
          </cell>
          <cell r="L147" t="str">
            <v>330CAGW</v>
          </cell>
          <cell r="M147">
            <v>0</v>
          </cell>
          <cell r="N147">
            <v>0</v>
          </cell>
          <cell r="O147">
            <v>1010.6423539841783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539CAGE</v>
          </cell>
          <cell r="B148">
            <v>539</v>
          </cell>
          <cell r="C148" t="str">
            <v>CAGE</v>
          </cell>
          <cell r="D148">
            <v>7524698.0999999996</v>
          </cell>
          <cell r="F148" t="str">
            <v>539CAGE</v>
          </cell>
          <cell r="G148">
            <v>539</v>
          </cell>
          <cell r="H148" t="str">
            <v>CAGE</v>
          </cell>
          <cell r="I148">
            <v>7524698.0999999996</v>
          </cell>
          <cell r="L148" t="str">
            <v>331CAGE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539CAGW</v>
          </cell>
          <cell r="B149">
            <v>539</v>
          </cell>
          <cell r="C149" t="str">
            <v>CAGW</v>
          </cell>
          <cell r="D149">
            <v>12027737.460000001</v>
          </cell>
          <cell r="F149" t="str">
            <v>539CAGW</v>
          </cell>
          <cell r="G149">
            <v>539</v>
          </cell>
          <cell r="H149" t="str">
            <v>CAGW</v>
          </cell>
          <cell r="I149">
            <v>12027737.460000001</v>
          </cell>
          <cell r="L149" t="str">
            <v>331CAGW</v>
          </cell>
          <cell r="M149">
            <v>0</v>
          </cell>
          <cell r="N149">
            <v>0</v>
          </cell>
          <cell r="O149">
            <v>269061.27964928577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540CAGE</v>
          </cell>
          <cell r="B150">
            <v>540</v>
          </cell>
          <cell r="C150" t="str">
            <v>CAGE</v>
          </cell>
          <cell r="D150">
            <v>72596.61</v>
          </cell>
          <cell r="F150" t="str">
            <v>540CAGE</v>
          </cell>
          <cell r="G150">
            <v>540</v>
          </cell>
          <cell r="H150" t="str">
            <v>CAGE</v>
          </cell>
          <cell r="I150">
            <v>72596.61</v>
          </cell>
          <cell r="L150" t="str">
            <v>332CAGE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540CAGW</v>
          </cell>
          <cell r="B151">
            <v>540</v>
          </cell>
          <cell r="C151" t="str">
            <v>CAGW</v>
          </cell>
          <cell r="D151">
            <v>1241514.4099999999</v>
          </cell>
          <cell r="F151" t="str">
            <v>540CAGW</v>
          </cell>
          <cell r="G151">
            <v>540</v>
          </cell>
          <cell r="H151" t="str">
            <v>CAGW</v>
          </cell>
          <cell r="I151">
            <v>1241514.4099999999</v>
          </cell>
          <cell r="L151" t="str">
            <v>332CAGW</v>
          </cell>
          <cell r="M151">
            <v>0</v>
          </cell>
          <cell r="N151">
            <v>0</v>
          </cell>
          <cell r="O151">
            <v>-170363365.56590402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541CAGW</v>
          </cell>
          <cell r="B152">
            <v>541</v>
          </cell>
          <cell r="C152" t="str">
            <v>CAGW</v>
          </cell>
          <cell r="D152">
            <v>469.88</v>
          </cell>
          <cell r="F152" t="str">
            <v>541CAGW</v>
          </cell>
          <cell r="G152">
            <v>541</v>
          </cell>
          <cell r="H152" t="str">
            <v>CAGW</v>
          </cell>
          <cell r="I152">
            <v>469.88</v>
          </cell>
          <cell r="L152" t="str">
            <v>332SG</v>
          </cell>
          <cell r="M152">
            <v>0</v>
          </cell>
          <cell r="N152">
            <v>0</v>
          </cell>
          <cell r="O152">
            <v>80540695.980197445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542CAGE</v>
          </cell>
          <cell r="B153">
            <v>542</v>
          </cell>
          <cell r="C153" t="str">
            <v>CAGE</v>
          </cell>
          <cell r="D153">
            <v>26209.040000000001</v>
          </cell>
          <cell r="F153" t="str">
            <v>542CAGE</v>
          </cell>
          <cell r="G153">
            <v>542</v>
          </cell>
          <cell r="H153" t="str">
            <v>CAGE</v>
          </cell>
          <cell r="I153">
            <v>26209.040000000001</v>
          </cell>
          <cell r="L153" t="str">
            <v>333CAGE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542CAGW</v>
          </cell>
          <cell r="B154">
            <v>542</v>
          </cell>
          <cell r="C154" t="str">
            <v>CAGW</v>
          </cell>
          <cell r="D154">
            <v>487432.88</v>
          </cell>
          <cell r="F154" t="str">
            <v>542CAGW</v>
          </cell>
          <cell r="G154">
            <v>542</v>
          </cell>
          <cell r="H154" t="str">
            <v>CAGW</v>
          </cell>
          <cell r="I154">
            <v>487432.88</v>
          </cell>
          <cell r="L154" t="str">
            <v>333CAGW</v>
          </cell>
          <cell r="M154">
            <v>0</v>
          </cell>
          <cell r="N154">
            <v>0</v>
          </cell>
          <cell r="O154">
            <v>417390.50933812233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543CAGE</v>
          </cell>
          <cell r="B155">
            <v>543</v>
          </cell>
          <cell r="C155" t="str">
            <v>CAGE</v>
          </cell>
          <cell r="D155">
            <v>633189.34</v>
          </cell>
          <cell r="F155" t="str">
            <v>543CAGE</v>
          </cell>
          <cell r="G155">
            <v>543</v>
          </cell>
          <cell r="H155" t="str">
            <v>CAGE</v>
          </cell>
          <cell r="I155">
            <v>633189.34</v>
          </cell>
          <cell r="L155" t="str">
            <v>334CAGE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543CAGW</v>
          </cell>
          <cell r="B156">
            <v>543</v>
          </cell>
          <cell r="C156" t="str">
            <v>CAGW</v>
          </cell>
          <cell r="D156">
            <v>938389.94</v>
          </cell>
          <cell r="F156" t="str">
            <v>543CAGW</v>
          </cell>
          <cell r="G156">
            <v>543</v>
          </cell>
          <cell r="H156" t="str">
            <v>CAGW</v>
          </cell>
          <cell r="I156">
            <v>938389.94</v>
          </cell>
          <cell r="L156" t="str">
            <v>334CAGW</v>
          </cell>
          <cell r="M156">
            <v>0</v>
          </cell>
          <cell r="N156">
            <v>0</v>
          </cell>
          <cell r="O156">
            <v>71620.698611643777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544CAGE</v>
          </cell>
          <cell r="B157">
            <v>544</v>
          </cell>
          <cell r="C157" t="str">
            <v>CAGE</v>
          </cell>
          <cell r="D157">
            <v>298436.12</v>
          </cell>
          <cell r="F157" t="str">
            <v>544CAGE</v>
          </cell>
          <cell r="G157">
            <v>544</v>
          </cell>
          <cell r="H157" t="str">
            <v>CAGE</v>
          </cell>
          <cell r="I157">
            <v>298436.12</v>
          </cell>
          <cell r="L157" t="str">
            <v>335CAGE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544CAGW</v>
          </cell>
          <cell r="B158">
            <v>544</v>
          </cell>
          <cell r="C158" t="str">
            <v>CAGW</v>
          </cell>
          <cell r="D158">
            <v>1695361.72</v>
          </cell>
          <cell r="F158" t="str">
            <v>544CAGW</v>
          </cell>
          <cell r="G158">
            <v>544</v>
          </cell>
          <cell r="H158" t="str">
            <v>CAGW</v>
          </cell>
          <cell r="I158">
            <v>1695361.72</v>
          </cell>
          <cell r="L158" t="str">
            <v>335CAGW</v>
          </cell>
          <cell r="M158">
            <v>0</v>
          </cell>
          <cell r="N158">
            <v>0</v>
          </cell>
          <cell r="O158">
            <v>16768.376409088469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545CAGE</v>
          </cell>
          <cell r="B159">
            <v>545</v>
          </cell>
          <cell r="C159" t="str">
            <v>CAGE</v>
          </cell>
          <cell r="D159">
            <v>729771.4</v>
          </cell>
          <cell r="F159" t="str">
            <v>545CAGE</v>
          </cell>
          <cell r="G159">
            <v>545</v>
          </cell>
          <cell r="H159" t="str">
            <v>CAGE</v>
          </cell>
          <cell r="I159">
            <v>729771.4</v>
          </cell>
          <cell r="L159" t="str">
            <v>336CAGE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545CAGW</v>
          </cell>
          <cell r="B160">
            <v>545</v>
          </cell>
          <cell r="C160" t="str">
            <v>CAGW</v>
          </cell>
          <cell r="D160">
            <v>3279117.99</v>
          </cell>
          <cell r="F160" t="str">
            <v>545CAGW</v>
          </cell>
          <cell r="G160">
            <v>545</v>
          </cell>
          <cell r="H160" t="str">
            <v>CAGW</v>
          </cell>
          <cell r="I160">
            <v>3279117.99</v>
          </cell>
          <cell r="L160" t="str">
            <v>336CAGW</v>
          </cell>
          <cell r="M160">
            <v>0</v>
          </cell>
          <cell r="N160">
            <v>0</v>
          </cell>
          <cell r="O160">
            <v>66752.538420945566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546CAGE</v>
          </cell>
          <cell r="B161">
            <v>546</v>
          </cell>
          <cell r="C161" t="str">
            <v>CAGE</v>
          </cell>
          <cell r="D161">
            <v>160760.15</v>
          </cell>
          <cell r="F161" t="str">
            <v>546CAGE</v>
          </cell>
          <cell r="G161">
            <v>546</v>
          </cell>
          <cell r="H161" t="str">
            <v>CAGE</v>
          </cell>
          <cell r="I161">
            <v>160760.15</v>
          </cell>
          <cell r="L161" t="str">
            <v>340CAGW</v>
          </cell>
          <cell r="M161">
            <v>0</v>
          </cell>
          <cell r="N161">
            <v>0</v>
          </cell>
          <cell r="O161">
            <v>-1222.2395442700529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546CAGW</v>
          </cell>
          <cell r="B162">
            <v>546</v>
          </cell>
          <cell r="C162" t="str">
            <v>CAGW</v>
          </cell>
          <cell r="D162">
            <v>119654.83</v>
          </cell>
          <cell r="F162" t="str">
            <v>546CAGW</v>
          </cell>
          <cell r="G162">
            <v>546</v>
          </cell>
          <cell r="H162" t="str">
            <v>CAGW</v>
          </cell>
          <cell r="I162">
            <v>119654.83</v>
          </cell>
          <cell r="L162" t="str">
            <v>341CAGE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548CAGE</v>
          </cell>
          <cell r="B163">
            <v>548</v>
          </cell>
          <cell r="C163" t="str">
            <v>CAGE</v>
          </cell>
          <cell r="D163">
            <v>8530245.5299999993</v>
          </cell>
          <cell r="F163" t="str">
            <v>548CAGE</v>
          </cell>
          <cell r="G163">
            <v>548</v>
          </cell>
          <cell r="H163" t="str">
            <v>CAGE</v>
          </cell>
          <cell r="I163">
            <v>8530245.5299999993</v>
          </cell>
          <cell r="L163" t="str">
            <v>341CAGW</v>
          </cell>
          <cell r="M163">
            <v>0</v>
          </cell>
          <cell r="N163">
            <v>0</v>
          </cell>
          <cell r="O163">
            <v>12851.389671402907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548CAGW</v>
          </cell>
          <cell r="B164">
            <v>548</v>
          </cell>
          <cell r="C164" t="str">
            <v>CAGW</v>
          </cell>
          <cell r="D164">
            <v>9240465.3800000008</v>
          </cell>
          <cell r="F164" t="str">
            <v>548CAGW</v>
          </cell>
          <cell r="G164">
            <v>548</v>
          </cell>
          <cell r="H164" t="str">
            <v>CAGW</v>
          </cell>
          <cell r="I164">
            <v>9240465.3800000008</v>
          </cell>
          <cell r="L164" t="str">
            <v>343CAGE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549CAGE</v>
          </cell>
          <cell r="B165">
            <v>549</v>
          </cell>
          <cell r="C165" t="str">
            <v>CAGE</v>
          </cell>
          <cell r="D165">
            <v>2544625.42</v>
          </cell>
          <cell r="F165" t="str">
            <v>549CAGE</v>
          </cell>
          <cell r="G165">
            <v>549</v>
          </cell>
          <cell r="H165" t="str">
            <v>CAGE</v>
          </cell>
          <cell r="I165">
            <v>2544625.42</v>
          </cell>
          <cell r="L165" t="str">
            <v>343CAGW</v>
          </cell>
          <cell r="M165">
            <v>0</v>
          </cell>
          <cell r="N165">
            <v>0</v>
          </cell>
          <cell r="O165">
            <v>-159242971.35137928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549CAGW</v>
          </cell>
          <cell r="B166">
            <v>549</v>
          </cell>
          <cell r="C166" t="str">
            <v>CAGW</v>
          </cell>
          <cell r="D166">
            <v>1548101.64</v>
          </cell>
          <cell r="F166" t="str">
            <v>549CAGW</v>
          </cell>
          <cell r="G166">
            <v>549</v>
          </cell>
          <cell r="H166" t="str">
            <v>CAGW</v>
          </cell>
          <cell r="I166">
            <v>1548101.64</v>
          </cell>
          <cell r="L166" t="str">
            <v>343SG</v>
          </cell>
          <cell r="M166">
            <v>0</v>
          </cell>
          <cell r="N166">
            <v>0</v>
          </cell>
          <cell r="O166">
            <v>272522045.94683242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549OR</v>
          </cell>
          <cell r="B167">
            <v>549</v>
          </cell>
          <cell r="C167" t="str">
            <v>OR</v>
          </cell>
          <cell r="D167">
            <v>96122.28</v>
          </cell>
          <cell r="F167" t="str">
            <v>549OR</v>
          </cell>
          <cell r="G167">
            <v>549</v>
          </cell>
          <cell r="H167" t="str">
            <v>OR</v>
          </cell>
          <cell r="I167">
            <v>96122.28</v>
          </cell>
          <cell r="L167" t="str">
            <v>344CAGE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549SG</v>
          </cell>
          <cell r="B168">
            <v>549</v>
          </cell>
          <cell r="C168" t="str">
            <v>SG</v>
          </cell>
          <cell r="D168">
            <v>1020108.87</v>
          </cell>
          <cell r="F168" t="str">
            <v>549SG</v>
          </cell>
          <cell r="G168">
            <v>549</v>
          </cell>
          <cell r="H168" t="str">
            <v>SG</v>
          </cell>
          <cell r="I168">
            <v>1020108.87</v>
          </cell>
          <cell r="L168" t="str">
            <v>344CAGW</v>
          </cell>
          <cell r="M168">
            <v>0</v>
          </cell>
          <cell r="N168">
            <v>0</v>
          </cell>
          <cell r="O168">
            <v>813.93738257094992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550CAGE</v>
          </cell>
          <cell r="B169">
            <v>550</v>
          </cell>
          <cell r="C169" t="str">
            <v>CAGE</v>
          </cell>
          <cell r="D169">
            <v>1744352.04</v>
          </cell>
          <cell r="F169" t="str">
            <v>550CAGE</v>
          </cell>
          <cell r="G169">
            <v>550</v>
          </cell>
          <cell r="H169" t="str">
            <v>CAGE</v>
          </cell>
          <cell r="I169">
            <v>1744352.04</v>
          </cell>
          <cell r="L169" t="str">
            <v>345CAGE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550CAGW</v>
          </cell>
          <cell r="B170">
            <v>550</v>
          </cell>
          <cell r="C170" t="str">
            <v>CAGW</v>
          </cell>
          <cell r="D170">
            <v>1862488.42</v>
          </cell>
          <cell r="F170" t="str">
            <v>550CAGW</v>
          </cell>
          <cell r="G170">
            <v>550</v>
          </cell>
          <cell r="H170" t="str">
            <v>CAGW</v>
          </cell>
          <cell r="I170">
            <v>1862488.42</v>
          </cell>
          <cell r="L170" t="str">
            <v>345CAGW</v>
          </cell>
          <cell r="M170">
            <v>0</v>
          </cell>
          <cell r="N170">
            <v>0</v>
          </cell>
          <cell r="O170">
            <v>20155.726586297278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550OR</v>
          </cell>
          <cell r="B171">
            <v>550</v>
          </cell>
          <cell r="C171" t="str">
            <v>OR</v>
          </cell>
          <cell r="D171">
            <v>288047.02</v>
          </cell>
          <cell r="F171" t="str">
            <v>550OR</v>
          </cell>
          <cell r="G171">
            <v>550</v>
          </cell>
          <cell r="H171" t="str">
            <v>OR</v>
          </cell>
          <cell r="I171">
            <v>288047.02</v>
          </cell>
          <cell r="L171" t="str">
            <v>346CAGW</v>
          </cell>
          <cell r="M171">
            <v>0</v>
          </cell>
          <cell r="N171">
            <v>0</v>
          </cell>
          <cell r="O171">
            <v>1256.447036712615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550SG</v>
          </cell>
          <cell r="B172">
            <v>550</v>
          </cell>
          <cell r="C172" t="str">
            <v>SG</v>
          </cell>
          <cell r="D172">
            <v>39498.769999999997</v>
          </cell>
          <cell r="F172" t="str">
            <v>550SG</v>
          </cell>
          <cell r="G172">
            <v>550</v>
          </cell>
          <cell r="H172" t="str">
            <v>SG</v>
          </cell>
          <cell r="I172">
            <v>39498.769999999997</v>
          </cell>
          <cell r="L172" t="str">
            <v>350CAGE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552CAGE</v>
          </cell>
          <cell r="B173">
            <v>552</v>
          </cell>
          <cell r="C173" t="str">
            <v>CAGE</v>
          </cell>
          <cell r="D173">
            <v>2904133.11</v>
          </cell>
          <cell r="F173" t="str">
            <v>552CAGE</v>
          </cell>
          <cell r="G173">
            <v>552</v>
          </cell>
          <cell r="H173" t="str">
            <v>CAGE</v>
          </cell>
          <cell r="I173">
            <v>2904133.11</v>
          </cell>
          <cell r="L173" t="str">
            <v>350CAGW</v>
          </cell>
          <cell r="M173">
            <v>0</v>
          </cell>
          <cell r="N173">
            <v>0</v>
          </cell>
          <cell r="O173">
            <v>14004.933008060449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552CAGW</v>
          </cell>
          <cell r="B174">
            <v>552</v>
          </cell>
          <cell r="C174" t="str">
            <v>CAGW</v>
          </cell>
          <cell r="D174">
            <v>25928.91</v>
          </cell>
          <cell r="F174" t="str">
            <v>552CAGW</v>
          </cell>
          <cell r="G174">
            <v>552</v>
          </cell>
          <cell r="H174" t="str">
            <v>CAGW</v>
          </cell>
          <cell r="I174">
            <v>25928.91</v>
          </cell>
          <cell r="L174" t="str">
            <v>352CAGE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553CAGE</v>
          </cell>
          <cell r="B175">
            <v>553</v>
          </cell>
          <cell r="C175" t="str">
            <v>CAGE</v>
          </cell>
          <cell r="D175">
            <v>9905700.5</v>
          </cell>
          <cell r="F175" t="str">
            <v>553CAGE</v>
          </cell>
          <cell r="G175">
            <v>553</v>
          </cell>
          <cell r="H175" t="str">
            <v>CAGE</v>
          </cell>
          <cell r="I175">
            <v>9905700.5</v>
          </cell>
          <cell r="L175" t="str">
            <v>352CAGW</v>
          </cell>
          <cell r="M175">
            <v>0</v>
          </cell>
          <cell r="N175">
            <v>0</v>
          </cell>
          <cell r="O175">
            <v>766824.74135574745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553CAGW</v>
          </cell>
          <cell r="B176">
            <v>553</v>
          </cell>
          <cell r="C176" t="str">
            <v>CAGW</v>
          </cell>
          <cell r="D176">
            <v>4790561.63</v>
          </cell>
          <cell r="F176" t="str">
            <v>553CAGW</v>
          </cell>
          <cell r="G176">
            <v>553</v>
          </cell>
          <cell r="H176" t="str">
            <v>CAGW</v>
          </cell>
          <cell r="I176">
            <v>4790561.63</v>
          </cell>
          <cell r="L176" t="str">
            <v>353CAGE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554CAGE</v>
          </cell>
          <cell r="B177">
            <v>554</v>
          </cell>
          <cell r="C177" t="str">
            <v>CAGE</v>
          </cell>
          <cell r="D177">
            <v>1010814.88</v>
          </cell>
          <cell r="F177" t="str">
            <v>554CAGE</v>
          </cell>
          <cell r="G177">
            <v>554</v>
          </cell>
          <cell r="H177" t="str">
            <v>CAGE</v>
          </cell>
          <cell r="I177">
            <v>1010814.88</v>
          </cell>
          <cell r="L177" t="str">
            <v>353CAGW</v>
          </cell>
          <cell r="M177">
            <v>0</v>
          </cell>
          <cell r="N177">
            <v>0</v>
          </cell>
          <cell r="O177">
            <v>-358982154.76887274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554CAGW</v>
          </cell>
          <cell r="B178">
            <v>554</v>
          </cell>
          <cell r="C178" t="str">
            <v>CAGW</v>
          </cell>
          <cell r="D178">
            <v>232733.36</v>
          </cell>
          <cell r="F178" t="str">
            <v>554CAGW</v>
          </cell>
          <cell r="G178">
            <v>554</v>
          </cell>
          <cell r="H178" t="str">
            <v>CAGW</v>
          </cell>
          <cell r="I178">
            <v>232733.36</v>
          </cell>
          <cell r="L178" t="str">
            <v>353JBG</v>
          </cell>
          <cell r="M178">
            <v>0</v>
          </cell>
          <cell r="N178">
            <v>0</v>
          </cell>
          <cell r="O178">
            <v>-19907085.024604123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555OTHER</v>
          </cell>
          <cell r="B179">
            <v>555</v>
          </cell>
          <cell r="C179" t="str">
            <v>OTHER</v>
          </cell>
          <cell r="D179">
            <v>-70283657.49000001</v>
          </cell>
          <cell r="F179" t="str">
            <v>555OTHER</v>
          </cell>
          <cell r="G179">
            <v>555</v>
          </cell>
          <cell r="H179" t="str">
            <v>OTHER</v>
          </cell>
          <cell r="I179">
            <v>-70283657.49000001</v>
          </cell>
          <cell r="L179" t="str">
            <v>353SG</v>
          </cell>
          <cell r="M179">
            <v>0</v>
          </cell>
          <cell r="N179">
            <v>0</v>
          </cell>
          <cell r="O179">
            <v>522624373.65324944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556SG</v>
          </cell>
          <cell r="B180">
            <v>556</v>
          </cell>
          <cell r="C180" t="str">
            <v>SG</v>
          </cell>
          <cell r="D180">
            <v>909956.53</v>
          </cell>
          <cell r="F180" t="str">
            <v>556SG</v>
          </cell>
          <cell r="G180">
            <v>556</v>
          </cell>
          <cell r="H180" t="str">
            <v>SG</v>
          </cell>
          <cell r="I180">
            <v>909956.53</v>
          </cell>
          <cell r="L180" t="str">
            <v>354CAGE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557CAGE</v>
          </cell>
          <cell r="B181">
            <v>557</v>
          </cell>
          <cell r="C181" t="str">
            <v>CAGE</v>
          </cell>
          <cell r="D181">
            <v>7198186.4100000001</v>
          </cell>
          <cell r="F181" t="str">
            <v>557CAGE</v>
          </cell>
          <cell r="G181">
            <v>557</v>
          </cell>
          <cell r="H181" t="str">
            <v>CAGE</v>
          </cell>
          <cell r="I181">
            <v>7198186.4100000001</v>
          </cell>
          <cell r="L181" t="str">
            <v>354CAGW</v>
          </cell>
          <cell r="M181">
            <v>0</v>
          </cell>
          <cell r="N181">
            <v>0</v>
          </cell>
          <cell r="O181">
            <v>3405684.0314662089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557CAGW</v>
          </cell>
          <cell r="B182">
            <v>557</v>
          </cell>
          <cell r="C182" t="str">
            <v>CAGW</v>
          </cell>
          <cell r="D182">
            <v>237385.28</v>
          </cell>
          <cell r="F182" t="str">
            <v>557CAGW</v>
          </cell>
          <cell r="G182">
            <v>557</v>
          </cell>
          <cell r="H182" t="str">
            <v>CAGW</v>
          </cell>
          <cell r="I182">
            <v>237385.28</v>
          </cell>
          <cell r="L182" t="str">
            <v>354JBG</v>
          </cell>
          <cell r="M182">
            <v>0</v>
          </cell>
          <cell r="N182">
            <v>0</v>
          </cell>
          <cell r="O182">
            <v>1388788.222514682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557ID</v>
          </cell>
          <cell r="B183">
            <v>557</v>
          </cell>
          <cell r="C183" t="str">
            <v>ID</v>
          </cell>
          <cell r="D183">
            <v>3757166.29</v>
          </cell>
          <cell r="F183" t="str">
            <v>557ID</v>
          </cell>
          <cell r="G183">
            <v>557</v>
          </cell>
          <cell r="H183" t="str">
            <v>ID</v>
          </cell>
          <cell r="I183">
            <v>3757166.29</v>
          </cell>
          <cell r="L183" t="str">
            <v>355CAGE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557JBE</v>
          </cell>
          <cell r="B184">
            <v>557</v>
          </cell>
          <cell r="C184" t="str">
            <v>JBE</v>
          </cell>
          <cell r="D184">
            <v>9183.52</v>
          </cell>
          <cell r="F184" t="str">
            <v>557JBE</v>
          </cell>
          <cell r="G184">
            <v>557</v>
          </cell>
          <cell r="H184" t="str">
            <v>JBE</v>
          </cell>
          <cell r="I184">
            <v>9183.52</v>
          </cell>
          <cell r="L184" t="str">
            <v>355CAGW</v>
          </cell>
          <cell r="M184">
            <v>0</v>
          </cell>
          <cell r="N184">
            <v>0</v>
          </cell>
          <cell r="O184">
            <v>35760263.179379657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557JBG</v>
          </cell>
          <cell r="B185">
            <v>557</v>
          </cell>
          <cell r="C185" t="str">
            <v>JBG</v>
          </cell>
          <cell r="D185">
            <v>1884023.41</v>
          </cell>
          <cell r="F185" t="str">
            <v>557JBG</v>
          </cell>
          <cell r="G185">
            <v>557</v>
          </cell>
          <cell r="H185" t="str">
            <v>JBG</v>
          </cell>
          <cell r="I185">
            <v>1884023.41</v>
          </cell>
          <cell r="L185" t="str">
            <v>355JBG</v>
          </cell>
          <cell r="M185">
            <v>0</v>
          </cell>
          <cell r="N185">
            <v>0</v>
          </cell>
          <cell r="O185">
            <v>-72885.484262367274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557OR</v>
          </cell>
          <cell r="B186">
            <v>557</v>
          </cell>
          <cell r="C186" t="str">
            <v>OR</v>
          </cell>
          <cell r="D186">
            <v>1682581.69</v>
          </cell>
          <cell r="F186" t="str">
            <v>557OR</v>
          </cell>
          <cell r="G186">
            <v>557</v>
          </cell>
          <cell r="H186" t="str">
            <v>OR</v>
          </cell>
          <cell r="I186">
            <v>1682581.69</v>
          </cell>
          <cell r="L186" t="str">
            <v>355SG</v>
          </cell>
          <cell r="M186">
            <v>0</v>
          </cell>
          <cell r="N186">
            <v>0</v>
          </cell>
          <cell r="O186">
            <v>61027109.366732419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557SG</v>
          </cell>
          <cell r="B187">
            <v>557</v>
          </cell>
          <cell r="C187" t="str">
            <v>SG</v>
          </cell>
          <cell r="D187">
            <v>26559611.530000001</v>
          </cell>
          <cell r="F187" t="str">
            <v>557SG</v>
          </cell>
          <cell r="G187">
            <v>557</v>
          </cell>
          <cell r="H187" t="str">
            <v>SG</v>
          </cell>
          <cell r="I187">
            <v>26559611.530000001</v>
          </cell>
          <cell r="L187" t="str">
            <v>356CAGE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557UT</v>
          </cell>
          <cell r="B188">
            <v>557</v>
          </cell>
          <cell r="C188" t="str">
            <v>UT</v>
          </cell>
          <cell r="D188">
            <v>24375.040000000001</v>
          </cell>
          <cell r="F188" t="str">
            <v>557UT</v>
          </cell>
          <cell r="G188">
            <v>557</v>
          </cell>
          <cell r="H188" t="str">
            <v>UT</v>
          </cell>
          <cell r="I188">
            <v>24375.040000000001</v>
          </cell>
          <cell r="L188" t="str">
            <v>356CAGW</v>
          </cell>
          <cell r="M188">
            <v>0</v>
          </cell>
          <cell r="N188">
            <v>0</v>
          </cell>
          <cell r="O188">
            <v>4925737.6410503406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557WA</v>
          </cell>
          <cell r="B189">
            <v>557</v>
          </cell>
          <cell r="C189" t="str">
            <v>WA</v>
          </cell>
          <cell r="D189">
            <v>0</v>
          </cell>
          <cell r="F189" t="str">
            <v>557WA</v>
          </cell>
          <cell r="G189">
            <v>557</v>
          </cell>
          <cell r="H189" t="str">
            <v>WA</v>
          </cell>
          <cell r="I189">
            <v>0</v>
          </cell>
          <cell r="L189" t="str">
            <v>356JBG</v>
          </cell>
          <cell r="M189">
            <v>0</v>
          </cell>
          <cell r="N189">
            <v>0</v>
          </cell>
          <cell r="O189">
            <v>1179154.1009444918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557WYU</v>
          </cell>
          <cell r="B190">
            <v>557</v>
          </cell>
          <cell r="C190" t="str">
            <v>WYU</v>
          </cell>
          <cell r="D190">
            <v>64913.4</v>
          </cell>
          <cell r="F190" t="str">
            <v>557WYU</v>
          </cell>
          <cell r="G190">
            <v>557</v>
          </cell>
          <cell r="H190" t="str">
            <v>WYU</v>
          </cell>
          <cell r="I190">
            <v>64913.4</v>
          </cell>
          <cell r="L190" t="str">
            <v>357CAGW</v>
          </cell>
          <cell r="M190">
            <v>0</v>
          </cell>
          <cell r="N190">
            <v>0</v>
          </cell>
          <cell r="O190">
            <v>50591.979304729022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560CAGE</v>
          </cell>
          <cell r="B191">
            <v>560</v>
          </cell>
          <cell r="C191" t="str">
            <v>CAGE</v>
          </cell>
          <cell r="D191">
            <v>512697.26</v>
          </cell>
          <cell r="F191" t="str">
            <v>560CAGE</v>
          </cell>
          <cell r="G191">
            <v>560</v>
          </cell>
          <cell r="H191" t="str">
            <v>CAGE</v>
          </cell>
          <cell r="I191">
            <v>512697.26</v>
          </cell>
          <cell r="L191" t="str">
            <v>360S</v>
          </cell>
          <cell r="M191">
            <v>0</v>
          </cell>
          <cell r="N191">
            <v>0</v>
          </cell>
          <cell r="O191">
            <v>251336.00246267638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560CAGW</v>
          </cell>
          <cell r="B192">
            <v>560</v>
          </cell>
          <cell r="C192" t="str">
            <v>CAGW</v>
          </cell>
          <cell r="D192">
            <v>242111.87</v>
          </cell>
          <cell r="F192" t="str">
            <v>560CAGW</v>
          </cell>
          <cell r="G192">
            <v>560</v>
          </cell>
          <cell r="H192" t="str">
            <v>CAGW</v>
          </cell>
          <cell r="I192">
            <v>242111.87</v>
          </cell>
          <cell r="L192" t="str">
            <v>361S</v>
          </cell>
          <cell r="M192">
            <v>0</v>
          </cell>
          <cell r="N192">
            <v>0</v>
          </cell>
          <cell r="O192">
            <v>1241687.3637456547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560SG</v>
          </cell>
          <cell r="B193">
            <v>560</v>
          </cell>
          <cell r="C193" t="str">
            <v>SG</v>
          </cell>
          <cell r="D193">
            <v>6534639.6600000001</v>
          </cell>
          <cell r="F193" t="str">
            <v>560SG</v>
          </cell>
          <cell r="G193">
            <v>560</v>
          </cell>
          <cell r="H193" t="str">
            <v>SG</v>
          </cell>
          <cell r="I193">
            <v>6534639.6600000001</v>
          </cell>
          <cell r="L193" t="str">
            <v>362S</v>
          </cell>
          <cell r="M193">
            <v>0</v>
          </cell>
          <cell r="N193">
            <v>0</v>
          </cell>
          <cell r="O193">
            <v>6971611.8312483244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561CAGE</v>
          </cell>
          <cell r="B194">
            <v>561</v>
          </cell>
          <cell r="C194" t="str">
            <v>CAGE</v>
          </cell>
          <cell r="D194">
            <v>1934070.24</v>
          </cell>
          <cell r="F194" t="str">
            <v>561CAGE</v>
          </cell>
          <cell r="G194">
            <v>561</v>
          </cell>
          <cell r="H194" t="str">
            <v>CAGE</v>
          </cell>
          <cell r="I194">
            <v>1934070.24</v>
          </cell>
          <cell r="L194" t="str">
            <v>364S</v>
          </cell>
          <cell r="M194">
            <v>0</v>
          </cell>
          <cell r="N194">
            <v>0</v>
          </cell>
          <cell r="O194">
            <v>6135061.7994108852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561CAGW</v>
          </cell>
          <cell r="B195">
            <v>561</v>
          </cell>
          <cell r="C195" t="str">
            <v>CAGW</v>
          </cell>
          <cell r="D195">
            <v>460333.51</v>
          </cell>
          <cell r="F195" t="str">
            <v>561CAGW</v>
          </cell>
          <cell r="G195">
            <v>561</v>
          </cell>
          <cell r="H195" t="str">
            <v>CAGW</v>
          </cell>
          <cell r="I195">
            <v>460333.51</v>
          </cell>
          <cell r="L195" t="str">
            <v>365S</v>
          </cell>
          <cell r="M195">
            <v>0</v>
          </cell>
          <cell r="N195">
            <v>0</v>
          </cell>
          <cell r="O195">
            <v>4141591.0594474897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561JBG</v>
          </cell>
          <cell r="B196">
            <v>561</v>
          </cell>
          <cell r="C196" t="str">
            <v>JBG</v>
          </cell>
          <cell r="D196">
            <v>0.01</v>
          </cell>
          <cell r="F196" t="str">
            <v>561JBG</v>
          </cell>
          <cell r="G196">
            <v>561</v>
          </cell>
          <cell r="H196" t="str">
            <v>JBG</v>
          </cell>
          <cell r="I196">
            <v>0.01</v>
          </cell>
          <cell r="L196" t="str">
            <v>366S</v>
          </cell>
          <cell r="M196">
            <v>0</v>
          </cell>
          <cell r="N196">
            <v>0</v>
          </cell>
          <cell r="O196">
            <v>1707941.5386615894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561SG</v>
          </cell>
          <cell r="B197">
            <v>561</v>
          </cell>
          <cell r="C197" t="str">
            <v>SG</v>
          </cell>
          <cell r="D197">
            <v>17602975.050000001</v>
          </cell>
          <cell r="F197" t="str">
            <v>561SG</v>
          </cell>
          <cell r="G197">
            <v>561</v>
          </cell>
          <cell r="H197" t="str">
            <v>SG</v>
          </cell>
          <cell r="I197">
            <v>17602975.050000001</v>
          </cell>
          <cell r="L197" t="str">
            <v>367S</v>
          </cell>
          <cell r="M197">
            <v>0</v>
          </cell>
          <cell r="N197">
            <v>0</v>
          </cell>
          <cell r="O197">
            <v>4083368.7310989844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562CAGE</v>
          </cell>
          <cell r="B198">
            <v>562</v>
          </cell>
          <cell r="C198" t="str">
            <v>CAGE</v>
          </cell>
          <cell r="D198">
            <v>2077494.31</v>
          </cell>
          <cell r="F198" t="str">
            <v>562CAGE</v>
          </cell>
          <cell r="G198">
            <v>562</v>
          </cell>
          <cell r="H198" t="str">
            <v>CAGE</v>
          </cell>
          <cell r="I198">
            <v>2077494.31</v>
          </cell>
          <cell r="L198" t="str">
            <v>368S</v>
          </cell>
          <cell r="M198">
            <v>0</v>
          </cell>
          <cell r="N198">
            <v>0</v>
          </cell>
          <cell r="O198">
            <v>6736794.2603693958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562CAGW</v>
          </cell>
          <cell r="B199">
            <v>562</v>
          </cell>
          <cell r="C199" t="str">
            <v>CAGW</v>
          </cell>
          <cell r="D199">
            <v>625702.88</v>
          </cell>
          <cell r="F199" t="str">
            <v>562CAGW</v>
          </cell>
          <cell r="G199">
            <v>562</v>
          </cell>
          <cell r="H199" t="str">
            <v>CAGW</v>
          </cell>
          <cell r="I199">
            <v>625702.88</v>
          </cell>
          <cell r="L199" t="str">
            <v>369S</v>
          </cell>
          <cell r="M199">
            <v>0</v>
          </cell>
          <cell r="N199">
            <v>0</v>
          </cell>
          <cell r="O199">
            <v>4477580.1464523152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562JBG</v>
          </cell>
          <cell r="B200">
            <v>562</v>
          </cell>
          <cell r="C200" t="str">
            <v>JBG</v>
          </cell>
          <cell r="D200">
            <v>69705.960000000006</v>
          </cell>
          <cell r="F200" t="str">
            <v>562JBG</v>
          </cell>
          <cell r="G200">
            <v>562</v>
          </cell>
          <cell r="H200" t="str">
            <v>JBG</v>
          </cell>
          <cell r="I200">
            <v>69705.960000000006</v>
          </cell>
          <cell r="L200" t="str">
            <v>370S</v>
          </cell>
          <cell r="M200">
            <v>0</v>
          </cell>
          <cell r="N200">
            <v>0</v>
          </cell>
          <cell r="O200">
            <v>1127357.0516306469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562SG</v>
          </cell>
          <cell r="B201">
            <v>562</v>
          </cell>
          <cell r="C201" t="str">
            <v>SG</v>
          </cell>
          <cell r="D201">
            <v>15851.63</v>
          </cell>
          <cell r="F201" t="str">
            <v>562SG</v>
          </cell>
          <cell r="G201">
            <v>562</v>
          </cell>
          <cell r="H201" t="str">
            <v>SG</v>
          </cell>
          <cell r="I201">
            <v>15851.63</v>
          </cell>
          <cell r="L201" t="str">
            <v>371S</v>
          </cell>
          <cell r="M201">
            <v>0</v>
          </cell>
          <cell r="N201">
            <v>0</v>
          </cell>
          <cell r="O201">
            <v>37031.467300862991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563CAGE</v>
          </cell>
          <cell r="B202">
            <v>563</v>
          </cell>
          <cell r="C202" t="str">
            <v>CAGE</v>
          </cell>
          <cell r="D202">
            <v>903205.7</v>
          </cell>
          <cell r="F202" t="str">
            <v>563CAGE</v>
          </cell>
          <cell r="G202">
            <v>563</v>
          </cell>
          <cell r="H202" t="str">
            <v>CAGE</v>
          </cell>
          <cell r="I202">
            <v>903205.7</v>
          </cell>
          <cell r="L202" t="str">
            <v>373S</v>
          </cell>
          <cell r="M202">
            <v>0</v>
          </cell>
          <cell r="N202">
            <v>0</v>
          </cell>
          <cell r="O202">
            <v>291591.21291234106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563CAGW</v>
          </cell>
          <cell r="B203">
            <v>563</v>
          </cell>
          <cell r="C203" t="str">
            <v>CAGW</v>
          </cell>
          <cell r="D203">
            <v>135203.97</v>
          </cell>
          <cell r="F203" t="str">
            <v>563CAGW</v>
          </cell>
          <cell r="G203">
            <v>563</v>
          </cell>
          <cell r="H203" t="str">
            <v>CAGW</v>
          </cell>
          <cell r="I203">
            <v>135203.97</v>
          </cell>
          <cell r="L203" t="str">
            <v>389S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566CAGE</v>
          </cell>
          <cell r="B204">
            <v>566</v>
          </cell>
          <cell r="C204" t="str">
            <v>CAGE</v>
          </cell>
          <cell r="D204">
            <v>429103.37</v>
          </cell>
          <cell r="F204" t="str">
            <v>566CAGE</v>
          </cell>
          <cell r="G204">
            <v>566</v>
          </cell>
          <cell r="H204" t="str">
            <v>CAGE</v>
          </cell>
          <cell r="I204">
            <v>429103.37</v>
          </cell>
          <cell r="L204" t="str">
            <v>390CAEE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566CAGW</v>
          </cell>
          <cell r="B205">
            <v>566</v>
          </cell>
          <cell r="C205" t="str">
            <v>CAGW</v>
          </cell>
          <cell r="D205">
            <v>81840.759999999995</v>
          </cell>
          <cell r="F205" t="str">
            <v>566CAGW</v>
          </cell>
          <cell r="G205">
            <v>566</v>
          </cell>
          <cell r="H205" t="str">
            <v>CAGW</v>
          </cell>
          <cell r="I205">
            <v>81840.759999999995</v>
          </cell>
          <cell r="L205" t="str">
            <v>390CAGW</v>
          </cell>
          <cell r="M205">
            <v>0</v>
          </cell>
          <cell r="N205">
            <v>0</v>
          </cell>
          <cell r="O205">
            <v>8.3626006734538763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566SG</v>
          </cell>
          <cell r="B206">
            <v>566</v>
          </cell>
          <cell r="C206" t="str">
            <v>SG</v>
          </cell>
          <cell r="D206">
            <v>2360754.0099999998</v>
          </cell>
          <cell r="F206" t="str">
            <v>566SG</v>
          </cell>
          <cell r="G206">
            <v>566</v>
          </cell>
          <cell r="H206" t="str">
            <v>SG</v>
          </cell>
          <cell r="I206">
            <v>2360754.0099999998</v>
          </cell>
          <cell r="L206" t="str">
            <v>390CN</v>
          </cell>
          <cell r="M206">
            <v>0</v>
          </cell>
          <cell r="N206">
            <v>0</v>
          </cell>
          <cell r="O206">
            <v>1667.7782433212644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567CAGE</v>
          </cell>
          <cell r="B207">
            <v>567</v>
          </cell>
          <cell r="C207" t="str">
            <v>CAGE</v>
          </cell>
          <cell r="D207">
            <v>1170291.55</v>
          </cell>
          <cell r="F207" t="str">
            <v>567CAGE</v>
          </cell>
          <cell r="G207">
            <v>567</v>
          </cell>
          <cell r="H207" t="str">
            <v>CAGE</v>
          </cell>
          <cell r="I207">
            <v>1170291.55</v>
          </cell>
          <cell r="L207" t="str">
            <v>390S</v>
          </cell>
          <cell r="M207">
            <v>0</v>
          </cell>
          <cell r="N207">
            <v>0</v>
          </cell>
          <cell r="O207">
            <v>39471.335833299905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567CAGW</v>
          </cell>
          <cell r="B208">
            <v>567</v>
          </cell>
          <cell r="C208" t="str">
            <v>CAGW</v>
          </cell>
          <cell r="D208">
            <v>933281.33</v>
          </cell>
          <cell r="F208" t="str">
            <v>567CAGW</v>
          </cell>
          <cell r="G208">
            <v>567</v>
          </cell>
          <cell r="H208" t="str">
            <v>CAGW</v>
          </cell>
          <cell r="I208">
            <v>933281.33</v>
          </cell>
          <cell r="L208" t="str">
            <v>390SO</v>
          </cell>
          <cell r="M208">
            <v>0</v>
          </cell>
          <cell r="N208">
            <v>0</v>
          </cell>
          <cell r="O208">
            <v>-3951.8804123534319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567JBG</v>
          </cell>
          <cell r="B209">
            <v>567</v>
          </cell>
          <cell r="C209" t="str">
            <v>JBG</v>
          </cell>
          <cell r="D209">
            <v>0</v>
          </cell>
          <cell r="F209" t="str">
            <v>567JBG</v>
          </cell>
          <cell r="G209">
            <v>567</v>
          </cell>
          <cell r="H209" t="str">
            <v>JBG</v>
          </cell>
          <cell r="I209">
            <v>0</v>
          </cell>
          <cell r="L209" t="str">
            <v>391CAEE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567SG</v>
          </cell>
          <cell r="B210">
            <v>567</v>
          </cell>
          <cell r="C210" t="str">
            <v>SG</v>
          </cell>
          <cell r="D210">
            <v>17692.650000000001</v>
          </cell>
          <cell r="F210" t="str">
            <v>567SG</v>
          </cell>
          <cell r="G210">
            <v>567</v>
          </cell>
          <cell r="H210" t="str">
            <v>SG</v>
          </cell>
          <cell r="I210">
            <v>17692.650000000001</v>
          </cell>
          <cell r="L210" t="str">
            <v>391CAGE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568CAGE</v>
          </cell>
          <cell r="B211">
            <v>568</v>
          </cell>
          <cell r="C211" t="str">
            <v>CAGE</v>
          </cell>
          <cell r="D211">
            <v>547228.66</v>
          </cell>
          <cell r="F211" t="str">
            <v>568CAGE</v>
          </cell>
          <cell r="G211">
            <v>568</v>
          </cell>
          <cell r="H211" t="str">
            <v>CAGE</v>
          </cell>
          <cell r="I211">
            <v>547228.66</v>
          </cell>
          <cell r="L211" t="str">
            <v>391CAGW</v>
          </cell>
          <cell r="M211">
            <v>0</v>
          </cell>
          <cell r="N211">
            <v>0</v>
          </cell>
          <cell r="O211">
            <v>-8465.6671906866995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568CAGW</v>
          </cell>
          <cell r="B212">
            <v>568</v>
          </cell>
          <cell r="C212" t="str">
            <v>CAGW</v>
          </cell>
          <cell r="D212">
            <v>225269.54</v>
          </cell>
          <cell r="F212" t="str">
            <v>568CAGW</v>
          </cell>
          <cell r="G212">
            <v>568</v>
          </cell>
          <cell r="H212" t="str">
            <v>CAGW</v>
          </cell>
          <cell r="I212">
            <v>225269.54</v>
          </cell>
          <cell r="L212" t="str">
            <v>391CN</v>
          </cell>
          <cell r="M212">
            <v>0</v>
          </cell>
          <cell r="N212">
            <v>0</v>
          </cell>
          <cell r="O212">
            <v>-38145.992890323432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568SG</v>
          </cell>
          <cell r="B213">
            <v>568</v>
          </cell>
          <cell r="C213" t="str">
            <v>SG</v>
          </cell>
          <cell r="D213">
            <v>577948.63</v>
          </cell>
          <cell r="F213" t="str">
            <v>568SG</v>
          </cell>
          <cell r="G213">
            <v>568</v>
          </cell>
          <cell r="H213" t="str">
            <v>SG</v>
          </cell>
          <cell r="I213">
            <v>577948.63</v>
          </cell>
          <cell r="L213" t="str">
            <v>391JBG</v>
          </cell>
          <cell r="M213">
            <v>0</v>
          </cell>
          <cell r="N213">
            <v>0</v>
          </cell>
          <cell r="O213">
            <v>1706.4832652768814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569CAGE</v>
          </cell>
          <cell r="B214">
            <v>569</v>
          </cell>
          <cell r="C214" t="str">
            <v>CAGE</v>
          </cell>
          <cell r="D214">
            <v>136544.95000000001</v>
          </cell>
          <cell r="F214" t="str">
            <v>569CAGE</v>
          </cell>
          <cell r="G214">
            <v>569</v>
          </cell>
          <cell r="H214" t="str">
            <v>CAGE</v>
          </cell>
          <cell r="I214">
            <v>136544.95000000001</v>
          </cell>
          <cell r="L214" t="str">
            <v>391S</v>
          </cell>
          <cell r="M214">
            <v>0</v>
          </cell>
          <cell r="N214">
            <v>0</v>
          </cell>
          <cell r="O214">
            <v>-12622.293750000012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569CAGW</v>
          </cell>
          <cell r="B215">
            <v>569</v>
          </cell>
          <cell r="C215" t="str">
            <v>CAGW</v>
          </cell>
          <cell r="D215">
            <v>370264.08</v>
          </cell>
          <cell r="F215" t="str">
            <v>569CAGW</v>
          </cell>
          <cell r="G215">
            <v>569</v>
          </cell>
          <cell r="H215" t="str">
            <v>CAGW</v>
          </cell>
          <cell r="I215">
            <v>370264.08</v>
          </cell>
          <cell r="L215" t="str">
            <v>391SO</v>
          </cell>
          <cell r="M215">
            <v>0</v>
          </cell>
          <cell r="N215">
            <v>0</v>
          </cell>
          <cell r="O215">
            <v>-728309.17768904718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569JBG</v>
          </cell>
          <cell r="B216">
            <v>569</v>
          </cell>
          <cell r="C216" t="str">
            <v>JBG</v>
          </cell>
          <cell r="D216">
            <v>0</v>
          </cell>
          <cell r="F216" t="str">
            <v>569JBG</v>
          </cell>
          <cell r="G216">
            <v>569</v>
          </cell>
          <cell r="H216" t="str">
            <v>JBG</v>
          </cell>
          <cell r="I216">
            <v>0</v>
          </cell>
          <cell r="L216" t="str">
            <v>392CAEE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569SG</v>
          </cell>
          <cell r="B217">
            <v>569</v>
          </cell>
          <cell r="C217" t="str">
            <v>SG</v>
          </cell>
          <cell r="D217">
            <v>5299750.96</v>
          </cell>
          <cell r="F217" t="str">
            <v>569SG</v>
          </cell>
          <cell r="G217">
            <v>569</v>
          </cell>
          <cell r="H217" t="str">
            <v>SG</v>
          </cell>
          <cell r="I217">
            <v>5299750.96</v>
          </cell>
          <cell r="L217" t="str">
            <v>392CAGE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570CAGE</v>
          </cell>
          <cell r="B218">
            <v>570</v>
          </cell>
          <cell r="C218" t="str">
            <v>CAGE</v>
          </cell>
          <cell r="D218">
            <v>8784478.7799999993</v>
          </cell>
          <cell r="F218" t="str">
            <v>570CAGE</v>
          </cell>
          <cell r="G218">
            <v>570</v>
          </cell>
          <cell r="H218" t="str">
            <v>CAGE</v>
          </cell>
          <cell r="I218">
            <v>8784478.7799999993</v>
          </cell>
          <cell r="L218" t="str">
            <v>392CAGW</v>
          </cell>
          <cell r="M218">
            <v>0</v>
          </cell>
          <cell r="N218">
            <v>0</v>
          </cell>
          <cell r="O218">
            <v>15881.806599564268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570CAGW</v>
          </cell>
          <cell r="B219">
            <v>570</v>
          </cell>
          <cell r="C219" t="str">
            <v>CAGW</v>
          </cell>
          <cell r="D219">
            <v>2625089.13</v>
          </cell>
          <cell r="F219" t="str">
            <v>570CAGW</v>
          </cell>
          <cell r="G219">
            <v>570</v>
          </cell>
          <cell r="H219" t="str">
            <v>CAGW</v>
          </cell>
          <cell r="I219">
            <v>2625089.13</v>
          </cell>
          <cell r="L219" t="str">
            <v>392JBG</v>
          </cell>
          <cell r="M219">
            <v>0</v>
          </cell>
          <cell r="N219">
            <v>0</v>
          </cell>
          <cell r="O219">
            <v>17795.271333984168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570JBG</v>
          </cell>
          <cell r="B220">
            <v>570</v>
          </cell>
          <cell r="C220" t="str">
            <v>JBG</v>
          </cell>
          <cell r="D220">
            <v>115025.65</v>
          </cell>
          <cell r="F220" t="str">
            <v>570JBG</v>
          </cell>
          <cell r="G220">
            <v>570</v>
          </cell>
          <cell r="H220" t="str">
            <v>JBG</v>
          </cell>
          <cell r="I220">
            <v>115025.65</v>
          </cell>
          <cell r="L220" t="str">
            <v>392S</v>
          </cell>
          <cell r="M220">
            <v>0</v>
          </cell>
          <cell r="N220">
            <v>0</v>
          </cell>
          <cell r="O220">
            <v>-17785.099999999627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570SG</v>
          </cell>
          <cell r="B221">
            <v>570</v>
          </cell>
          <cell r="C221" t="str">
            <v>SG</v>
          </cell>
          <cell r="D221">
            <v>331698.07</v>
          </cell>
          <cell r="F221" t="str">
            <v>570SG</v>
          </cell>
          <cell r="G221">
            <v>570</v>
          </cell>
          <cell r="H221" t="str">
            <v>SG</v>
          </cell>
          <cell r="I221">
            <v>331698.07</v>
          </cell>
          <cell r="L221" t="str">
            <v>392SO</v>
          </cell>
          <cell r="M221">
            <v>0</v>
          </cell>
          <cell r="N221">
            <v>0</v>
          </cell>
          <cell r="O221">
            <v>-36735.284565170135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571CAGE</v>
          </cell>
          <cell r="B222">
            <v>571</v>
          </cell>
          <cell r="C222" t="str">
            <v>CAGE</v>
          </cell>
          <cell r="D222">
            <v>8398238.75</v>
          </cell>
          <cell r="F222" t="str">
            <v>571CAGE</v>
          </cell>
          <cell r="G222">
            <v>571</v>
          </cell>
          <cell r="H222" t="str">
            <v>CAGE</v>
          </cell>
          <cell r="I222">
            <v>8398238.75</v>
          </cell>
          <cell r="L222" t="str">
            <v>393CAGE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571CAGW</v>
          </cell>
          <cell r="B223">
            <v>571</v>
          </cell>
          <cell r="C223" t="str">
            <v>CAGW</v>
          </cell>
          <cell r="D223">
            <v>7788767.4800000004</v>
          </cell>
          <cell r="F223" t="str">
            <v>571CAGW</v>
          </cell>
          <cell r="G223">
            <v>571</v>
          </cell>
          <cell r="H223" t="str">
            <v>CAGW</v>
          </cell>
          <cell r="I223">
            <v>7788767.4800000004</v>
          </cell>
          <cell r="L223" t="str">
            <v>393CAGW</v>
          </cell>
          <cell r="M223">
            <v>0</v>
          </cell>
          <cell r="N223">
            <v>0</v>
          </cell>
          <cell r="O223">
            <v>5179.6581651639244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571JBG</v>
          </cell>
          <cell r="B224">
            <v>571</v>
          </cell>
          <cell r="C224" t="str">
            <v>JBG</v>
          </cell>
          <cell r="D224">
            <v>0</v>
          </cell>
          <cell r="F224" t="str">
            <v>571JBG</v>
          </cell>
          <cell r="G224">
            <v>571</v>
          </cell>
          <cell r="H224" t="str">
            <v>JBG</v>
          </cell>
          <cell r="I224">
            <v>0</v>
          </cell>
          <cell r="L224" t="str">
            <v>393JBG</v>
          </cell>
          <cell r="M224">
            <v>0</v>
          </cell>
          <cell r="N224">
            <v>0</v>
          </cell>
          <cell r="O224">
            <v>14840.640429474237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571SG</v>
          </cell>
          <cell r="B225">
            <v>571</v>
          </cell>
          <cell r="C225" t="str">
            <v>SG</v>
          </cell>
          <cell r="D225">
            <v>-31089.19</v>
          </cell>
          <cell r="F225" t="str">
            <v>571SG</v>
          </cell>
          <cell r="G225">
            <v>571</v>
          </cell>
          <cell r="H225" t="str">
            <v>SG</v>
          </cell>
          <cell r="I225">
            <v>-31089.19</v>
          </cell>
          <cell r="L225" t="str">
            <v>393S</v>
          </cell>
          <cell r="M225">
            <v>0</v>
          </cell>
          <cell r="N225">
            <v>0</v>
          </cell>
          <cell r="O225">
            <v>-20857.98541666707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572CAGE</v>
          </cell>
          <cell r="B226">
            <v>572</v>
          </cell>
          <cell r="C226" t="str">
            <v>CAGE</v>
          </cell>
          <cell r="D226">
            <v>26470.26</v>
          </cell>
          <cell r="F226" t="str">
            <v>572CAGE</v>
          </cell>
          <cell r="G226">
            <v>572</v>
          </cell>
          <cell r="H226" t="str">
            <v>CAGE</v>
          </cell>
          <cell r="I226">
            <v>26470.26</v>
          </cell>
          <cell r="L226" t="str">
            <v>393SO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572CAGW</v>
          </cell>
          <cell r="B227">
            <v>572</v>
          </cell>
          <cell r="C227" t="str">
            <v>CAGW</v>
          </cell>
          <cell r="D227">
            <v>11275.07</v>
          </cell>
          <cell r="F227" t="str">
            <v>572CAGW</v>
          </cell>
          <cell r="G227">
            <v>572</v>
          </cell>
          <cell r="H227" t="str">
            <v>CAGW</v>
          </cell>
          <cell r="I227">
            <v>11275.07</v>
          </cell>
          <cell r="L227" t="str">
            <v>394CAGE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572SG</v>
          </cell>
          <cell r="B228">
            <v>572</v>
          </cell>
          <cell r="C228" t="str">
            <v>SG</v>
          </cell>
          <cell r="D228">
            <v>0</v>
          </cell>
          <cell r="F228" t="str">
            <v>572SG</v>
          </cell>
          <cell r="G228">
            <v>572</v>
          </cell>
          <cell r="H228" t="str">
            <v>SG</v>
          </cell>
          <cell r="I228">
            <v>0</v>
          </cell>
          <cell r="L228" t="str">
            <v>394CAGW</v>
          </cell>
          <cell r="M228">
            <v>0</v>
          </cell>
          <cell r="N228">
            <v>0</v>
          </cell>
          <cell r="O228">
            <v>-13955.462348884263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573CAGE</v>
          </cell>
          <cell r="B229">
            <v>573</v>
          </cell>
          <cell r="C229" t="str">
            <v>CAGE</v>
          </cell>
          <cell r="D229">
            <v>52896.72</v>
          </cell>
          <cell r="F229" t="str">
            <v>573CAGE</v>
          </cell>
          <cell r="G229">
            <v>573</v>
          </cell>
          <cell r="H229" t="str">
            <v>CAGE</v>
          </cell>
          <cell r="I229">
            <v>52896.72</v>
          </cell>
          <cell r="L229" t="str">
            <v>394JBG</v>
          </cell>
          <cell r="M229">
            <v>0</v>
          </cell>
          <cell r="N229">
            <v>0</v>
          </cell>
          <cell r="O229">
            <v>9345.1539270673729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573SG</v>
          </cell>
          <cell r="B230">
            <v>573</v>
          </cell>
          <cell r="C230" t="str">
            <v>SG</v>
          </cell>
          <cell r="D230">
            <v>97902.29</v>
          </cell>
          <cell r="F230" t="str">
            <v>573SG</v>
          </cell>
          <cell r="G230">
            <v>573</v>
          </cell>
          <cell r="H230" t="str">
            <v>SG</v>
          </cell>
          <cell r="I230">
            <v>97902.29</v>
          </cell>
          <cell r="L230" t="str">
            <v>394S</v>
          </cell>
          <cell r="M230">
            <v>0</v>
          </cell>
          <cell r="N230">
            <v>0</v>
          </cell>
          <cell r="O230">
            <v>-51166.662916670088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580CA</v>
          </cell>
          <cell r="B231">
            <v>580</v>
          </cell>
          <cell r="C231" t="str">
            <v>CA</v>
          </cell>
          <cell r="D231">
            <v>46986.080000000002</v>
          </cell>
          <cell r="F231" t="str">
            <v>580CA</v>
          </cell>
          <cell r="G231">
            <v>580</v>
          </cell>
          <cell r="H231" t="str">
            <v>CA</v>
          </cell>
          <cell r="I231">
            <v>46986.080000000002</v>
          </cell>
          <cell r="L231" t="str">
            <v>394SO</v>
          </cell>
          <cell r="M231">
            <v>0</v>
          </cell>
          <cell r="N231">
            <v>0</v>
          </cell>
          <cell r="O231">
            <v>-31447.777369567637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580ID</v>
          </cell>
          <cell r="B232">
            <v>580</v>
          </cell>
          <cell r="C232" t="str">
            <v>ID</v>
          </cell>
          <cell r="D232">
            <v>31141.82</v>
          </cell>
          <cell r="F232" t="str">
            <v>580ID</v>
          </cell>
          <cell r="G232">
            <v>580</v>
          </cell>
          <cell r="H232" t="str">
            <v>ID</v>
          </cell>
          <cell r="I232">
            <v>31141.82</v>
          </cell>
          <cell r="L232" t="str">
            <v>395CAEE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580OR</v>
          </cell>
          <cell r="B233">
            <v>580</v>
          </cell>
          <cell r="C233" t="str">
            <v>OR</v>
          </cell>
          <cell r="D233">
            <v>308794.53000000003</v>
          </cell>
          <cell r="F233" t="str">
            <v>580OR</v>
          </cell>
          <cell r="G233">
            <v>580</v>
          </cell>
          <cell r="H233" t="str">
            <v>OR</v>
          </cell>
          <cell r="I233">
            <v>308794.53000000003</v>
          </cell>
          <cell r="L233" t="str">
            <v>395CAGE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580SNPD</v>
          </cell>
          <cell r="B234">
            <v>580</v>
          </cell>
          <cell r="C234" t="str">
            <v>SNPD</v>
          </cell>
          <cell r="D234">
            <v>7995339.2400000002</v>
          </cell>
          <cell r="F234" t="str">
            <v>580SNPD</v>
          </cell>
          <cell r="G234">
            <v>580</v>
          </cell>
          <cell r="H234" t="str">
            <v>SNPD</v>
          </cell>
          <cell r="I234">
            <v>7995339.2400000002</v>
          </cell>
          <cell r="L234" t="str">
            <v>395CAGW</v>
          </cell>
          <cell r="M234">
            <v>0</v>
          </cell>
          <cell r="N234">
            <v>0</v>
          </cell>
          <cell r="O234">
            <v>-642.3203029555126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580UT</v>
          </cell>
          <cell r="B235">
            <v>580</v>
          </cell>
          <cell r="C235" t="str">
            <v>UT</v>
          </cell>
          <cell r="D235">
            <v>424058.58</v>
          </cell>
          <cell r="F235" t="str">
            <v>580UT</v>
          </cell>
          <cell r="G235">
            <v>580</v>
          </cell>
          <cell r="H235" t="str">
            <v>UT</v>
          </cell>
          <cell r="I235">
            <v>424058.58</v>
          </cell>
          <cell r="L235" t="str">
            <v>395JBG</v>
          </cell>
          <cell r="M235">
            <v>0</v>
          </cell>
          <cell r="N235">
            <v>0</v>
          </cell>
          <cell r="O235">
            <v>6744.6922332296854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580WA</v>
          </cell>
          <cell r="B236">
            <v>580</v>
          </cell>
          <cell r="C236" t="str">
            <v>WA</v>
          </cell>
          <cell r="D236">
            <v>132982.87</v>
          </cell>
          <cell r="F236" t="str">
            <v>580WA</v>
          </cell>
          <cell r="G236">
            <v>580</v>
          </cell>
          <cell r="H236" t="str">
            <v>WA</v>
          </cell>
          <cell r="I236">
            <v>132982.87</v>
          </cell>
          <cell r="L236" t="str">
            <v>395S</v>
          </cell>
          <cell r="M236">
            <v>0</v>
          </cell>
          <cell r="N236">
            <v>0</v>
          </cell>
          <cell r="O236">
            <v>-9825.9304166699294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580WYP</v>
          </cell>
          <cell r="B237">
            <v>580</v>
          </cell>
          <cell r="C237" t="str">
            <v>WYP</v>
          </cell>
          <cell r="D237">
            <v>105395.17</v>
          </cell>
          <cell r="F237" t="str">
            <v>580WYP</v>
          </cell>
          <cell r="G237">
            <v>580</v>
          </cell>
          <cell r="H237" t="str">
            <v>WYP</v>
          </cell>
          <cell r="I237">
            <v>105395.17</v>
          </cell>
          <cell r="L237" t="str">
            <v>395SO</v>
          </cell>
          <cell r="M237">
            <v>0</v>
          </cell>
          <cell r="N237">
            <v>0</v>
          </cell>
          <cell r="O237">
            <v>9607.5074135934738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581ID</v>
          </cell>
          <cell r="B238">
            <v>581</v>
          </cell>
          <cell r="C238" t="str">
            <v>ID</v>
          </cell>
          <cell r="D238">
            <v>0</v>
          </cell>
          <cell r="F238" t="str">
            <v>581ID</v>
          </cell>
          <cell r="G238">
            <v>581</v>
          </cell>
          <cell r="H238" t="str">
            <v>ID</v>
          </cell>
          <cell r="I238">
            <v>0</v>
          </cell>
          <cell r="L238" t="str">
            <v>396CAEE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581SNPD</v>
          </cell>
          <cell r="B239">
            <v>581</v>
          </cell>
          <cell r="C239" t="str">
            <v>SNPD</v>
          </cell>
          <cell r="D239">
            <v>12174853.109999999</v>
          </cell>
          <cell r="F239" t="str">
            <v>581SNPD</v>
          </cell>
          <cell r="G239">
            <v>581</v>
          </cell>
          <cell r="H239" t="str">
            <v>SNPD</v>
          </cell>
          <cell r="I239">
            <v>12174853.109999999</v>
          </cell>
          <cell r="L239" t="str">
            <v>396CAGE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582CA</v>
          </cell>
          <cell r="B240">
            <v>582</v>
          </cell>
          <cell r="C240" t="str">
            <v>CA</v>
          </cell>
          <cell r="D240">
            <v>76394.13</v>
          </cell>
          <cell r="F240" t="str">
            <v>582CA</v>
          </cell>
          <cell r="G240">
            <v>582</v>
          </cell>
          <cell r="H240" t="str">
            <v>CA</v>
          </cell>
          <cell r="I240">
            <v>76394.13</v>
          </cell>
          <cell r="L240" t="str">
            <v>396CAGW</v>
          </cell>
          <cell r="M240">
            <v>0</v>
          </cell>
          <cell r="N240">
            <v>0</v>
          </cell>
          <cell r="O240">
            <v>-1151.1963674039575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582ID</v>
          </cell>
          <cell r="B241">
            <v>582</v>
          </cell>
          <cell r="C241" t="str">
            <v>ID</v>
          </cell>
          <cell r="D241">
            <v>594938.68999999994</v>
          </cell>
          <cell r="F241" t="str">
            <v>582ID</v>
          </cell>
          <cell r="G241">
            <v>582</v>
          </cell>
          <cell r="H241" t="str">
            <v>ID</v>
          </cell>
          <cell r="I241">
            <v>594938.68999999994</v>
          </cell>
          <cell r="L241" t="str">
            <v>396JBG</v>
          </cell>
          <cell r="M241">
            <v>0</v>
          </cell>
          <cell r="N241">
            <v>0</v>
          </cell>
          <cell r="O241">
            <v>-3161.6375470439084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582OR</v>
          </cell>
          <cell r="B242">
            <v>582</v>
          </cell>
          <cell r="C242" t="str">
            <v>OR</v>
          </cell>
          <cell r="D242">
            <v>1050441.1299999999</v>
          </cell>
          <cell r="F242" t="str">
            <v>582OR</v>
          </cell>
          <cell r="G242">
            <v>582</v>
          </cell>
          <cell r="H242" t="str">
            <v>OR</v>
          </cell>
          <cell r="I242">
            <v>1050441.1299999999</v>
          </cell>
          <cell r="L242" t="str">
            <v>396S</v>
          </cell>
          <cell r="M242">
            <v>0</v>
          </cell>
          <cell r="N242">
            <v>0</v>
          </cell>
          <cell r="O242">
            <v>-513.75916666910052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582SNPD</v>
          </cell>
          <cell r="B243">
            <v>582</v>
          </cell>
          <cell r="C243" t="str">
            <v>SNPD</v>
          </cell>
          <cell r="D243">
            <v>3667.09</v>
          </cell>
          <cell r="F243" t="str">
            <v>582SNPD</v>
          </cell>
          <cell r="G243">
            <v>582</v>
          </cell>
          <cell r="H243" t="str">
            <v>SNPD</v>
          </cell>
          <cell r="I243">
            <v>3667.09</v>
          </cell>
          <cell r="L243" t="str">
            <v>396SO</v>
          </cell>
          <cell r="M243">
            <v>0</v>
          </cell>
          <cell r="N243">
            <v>0</v>
          </cell>
          <cell r="O243">
            <v>-647.2445947168934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582UT</v>
          </cell>
          <cell r="B244">
            <v>582</v>
          </cell>
          <cell r="C244" t="str">
            <v>UT</v>
          </cell>
          <cell r="D244">
            <v>1946005.11</v>
          </cell>
          <cell r="F244" t="str">
            <v>582UT</v>
          </cell>
          <cell r="G244">
            <v>582</v>
          </cell>
          <cell r="H244" t="str">
            <v>UT</v>
          </cell>
          <cell r="I244">
            <v>1946005.11</v>
          </cell>
          <cell r="L244" t="str">
            <v>397CAEE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582WA</v>
          </cell>
          <cell r="B245">
            <v>582</v>
          </cell>
          <cell r="C245" t="str">
            <v>WA</v>
          </cell>
          <cell r="D245">
            <v>297259</v>
          </cell>
          <cell r="F245" t="str">
            <v>582WA</v>
          </cell>
          <cell r="G245">
            <v>582</v>
          </cell>
          <cell r="H245" t="str">
            <v>WA</v>
          </cell>
          <cell r="I245">
            <v>297259</v>
          </cell>
          <cell r="L245" t="str">
            <v>397CAGE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582WYP</v>
          </cell>
          <cell r="B246">
            <v>582</v>
          </cell>
          <cell r="C246" t="str">
            <v>WYP</v>
          </cell>
          <cell r="D246">
            <v>709663.4</v>
          </cell>
          <cell r="F246" t="str">
            <v>582WYP</v>
          </cell>
          <cell r="G246">
            <v>582</v>
          </cell>
          <cell r="H246" t="str">
            <v>WYP</v>
          </cell>
          <cell r="I246">
            <v>709663.4</v>
          </cell>
          <cell r="L246" t="str">
            <v>397CAGW</v>
          </cell>
          <cell r="M246">
            <v>0</v>
          </cell>
          <cell r="N246">
            <v>0</v>
          </cell>
          <cell r="O246">
            <v>2006995.684065843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583CA</v>
          </cell>
          <cell r="B247">
            <v>583</v>
          </cell>
          <cell r="C247" t="str">
            <v>CA</v>
          </cell>
          <cell r="D247">
            <v>243960.78</v>
          </cell>
          <cell r="F247" t="str">
            <v>583CA</v>
          </cell>
          <cell r="G247">
            <v>583</v>
          </cell>
          <cell r="H247" t="str">
            <v>CA</v>
          </cell>
          <cell r="I247">
            <v>243960.78</v>
          </cell>
          <cell r="L247" t="str">
            <v>397CN</v>
          </cell>
          <cell r="M247">
            <v>0</v>
          </cell>
          <cell r="N247">
            <v>0</v>
          </cell>
          <cell r="O247">
            <v>-195044.18223585814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583ID</v>
          </cell>
          <cell r="B248">
            <v>583</v>
          </cell>
          <cell r="C248" t="str">
            <v>ID</v>
          </cell>
          <cell r="D248">
            <v>376834.75</v>
          </cell>
          <cell r="F248" t="str">
            <v>583ID</v>
          </cell>
          <cell r="G248">
            <v>583</v>
          </cell>
          <cell r="H248" t="str">
            <v>ID</v>
          </cell>
          <cell r="I248">
            <v>376834.75</v>
          </cell>
          <cell r="L248" t="str">
            <v>397JBE</v>
          </cell>
          <cell r="M248">
            <v>0</v>
          </cell>
          <cell r="N248">
            <v>0</v>
          </cell>
          <cell r="O248">
            <v>-72.497943240430459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583OR</v>
          </cell>
          <cell r="B249">
            <v>583</v>
          </cell>
          <cell r="C249" t="str">
            <v>OR</v>
          </cell>
          <cell r="D249">
            <v>1649555.91</v>
          </cell>
          <cell r="F249" t="str">
            <v>583OR</v>
          </cell>
          <cell r="G249">
            <v>583</v>
          </cell>
          <cell r="H249" t="str">
            <v>OR</v>
          </cell>
          <cell r="I249">
            <v>1649555.91</v>
          </cell>
          <cell r="L249" t="str">
            <v>397JBG</v>
          </cell>
          <cell r="M249">
            <v>0</v>
          </cell>
          <cell r="N249">
            <v>0</v>
          </cell>
          <cell r="O249">
            <v>-175737.98073766084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583SNPD</v>
          </cell>
          <cell r="B250">
            <v>583</v>
          </cell>
          <cell r="C250" t="str">
            <v>SNPD</v>
          </cell>
          <cell r="D250">
            <v>163</v>
          </cell>
          <cell r="F250" t="str">
            <v>583SNPD</v>
          </cell>
          <cell r="G250">
            <v>583</v>
          </cell>
          <cell r="H250" t="str">
            <v>SNPD</v>
          </cell>
          <cell r="I250">
            <v>163</v>
          </cell>
          <cell r="L250" t="str">
            <v>397S</v>
          </cell>
          <cell r="M250">
            <v>0</v>
          </cell>
          <cell r="N250">
            <v>0</v>
          </cell>
          <cell r="O250">
            <v>1459503.0515464656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583UT</v>
          </cell>
          <cell r="B251">
            <v>583</v>
          </cell>
          <cell r="C251" t="str">
            <v>UT</v>
          </cell>
          <cell r="D251">
            <v>5928360.3200000003</v>
          </cell>
          <cell r="F251" t="str">
            <v>583UT</v>
          </cell>
          <cell r="G251">
            <v>583</v>
          </cell>
          <cell r="H251" t="str">
            <v>UT</v>
          </cell>
          <cell r="I251">
            <v>5928360.3200000003</v>
          </cell>
          <cell r="L251" t="str">
            <v>397SO</v>
          </cell>
          <cell r="M251">
            <v>0</v>
          </cell>
          <cell r="N251">
            <v>0</v>
          </cell>
          <cell r="O251">
            <v>1308201.629916305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 t="str">
            <v>583WA</v>
          </cell>
          <cell r="B252">
            <v>583</v>
          </cell>
          <cell r="C252" t="str">
            <v>WA</v>
          </cell>
          <cell r="D252">
            <v>231836.73</v>
          </cell>
          <cell r="F252" t="str">
            <v>583WA</v>
          </cell>
          <cell r="G252">
            <v>583</v>
          </cell>
          <cell r="H252" t="str">
            <v>WA</v>
          </cell>
          <cell r="I252">
            <v>231836.73</v>
          </cell>
          <cell r="L252" t="str">
            <v>398CAEE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A253" t="str">
            <v>583WYP</v>
          </cell>
          <cell r="B253">
            <v>583</v>
          </cell>
          <cell r="C253" t="str">
            <v>WYP</v>
          </cell>
          <cell r="D253">
            <v>516398.71</v>
          </cell>
          <cell r="F253" t="str">
            <v>583WYP</v>
          </cell>
          <cell r="G253">
            <v>583</v>
          </cell>
          <cell r="H253" t="str">
            <v>WYP</v>
          </cell>
          <cell r="I253">
            <v>516398.71</v>
          </cell>
          <cell r="L253" t="str">
            <v>398CAGE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 t="str">
            <v>583WYU</v>
          </cell>
          <cell r="B254">
            <v>583</v>
          </cell>
          <cell r="C254" t="str">
            <v>WYU</v>
          </cell>
          <cell r="D254">
            <v>139309.56</v>
          </cell>
          <cell r="F254" t="str">
            <v>583WYU</v>
          </cell>
          <cell r="G254">
            <v>583</v>
          </cell>
          <cell r="H254" t="str">
            <v>WYU</v>
          </cell>
          <cell r="I254">
            <v>139309.56</v>
          </cell>
          <cell r="L254" t="str">
            <v>398CAGW</v>
          </cell>
          <cell r="M254">
            <v>0</v>
          </cell>
          <cell r="N254">
            <v>0</v>
          </cell>
          <cell r="O254">
            <v>375.90904151923218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 t="str">
            <v>584OR</v>
          </cell>
          <cell r="B255">
            <v>584</v>
          </cell>
          <cell r="C255" t="str">
            <v>OR</v>
          </cell>
          <cell r="D255">
            <v>483.21</v>
          </cell>
          <cell r="F255" t="str">
            <v>584OR</v>
          </cell>
          <cell r="G255">
            <v>584</v>
          </cell>
          <cell r="H255" t="str">
            <v>OR</v>
          </cell>
          <cell r="I255">
            <v>483.21</v>
          </cell>
          <cell r="L255" t="str">
            <v>398CN</v>
          </cell>
          <cell r="M255">
            <v>0</v>
          </cell>
          <cell r="N255">
            <v>0</v>
          </cell>
          <cell r="O255">
            <v>551.63241109211378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</row>
        <row r="256">
          <cell r="A256" t="str">
            <v>584UT</v>
          </cell>
          <cell r="B256">
            <v>584</v>
          </cell>
          <cell r="C256" t="str">
            <v>UT</v>
          </cell>
          <cell r="D256">
            <v>1179.18</v>
          </cell>
          <cell r="F256" t="str">
            <v>584UT</v>
          </cell>
          <cell r="G256">
            <v>584</v>
          </cell>
          <cell r="H256" t="str">
            <v>UT</v>
          </cell>
          <cell r="I256">
            <v>1179.18</v>
          </cell>
          <cell r="L256" t="str">
            <v>398JBG</v>
          </cell>
          <cell r="M256">
            <v>0</v>
          </cell>
          <cell r="N256">
            <v>0</v>
          </cell>
          <cell r="O256">
            <v>4429.9657053271012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 t="str">
            <v>584WYP</v>
          </cell>
          <cell r="B257">
            <v>584</v>
          </cell>
          <cell r="C257" t="str">
            <v>WYP</v>
          </cell>
          <cell r="D257">
            <v>83.53</v>
          </cell>
          <cell r="F257" t="str">
            <v>584WYP</v>
          </cell>
          <cell r="G257">
            <v>584</v>
          </cell>
          <cell r="H257" t="str">
            <v>WYP</v>
          </cell>
          <cell r="I257">
            <v>83.53</v>
          </cell>
          <cell r="L257" t="str">
            <v>398S</v>
          </cell>
          <cell r="M257">
            <v>0</v>
          </cell>
          <cell r="N257">
            <v>0</v>
          </cell>
          <cell r="O257">
            <v>-1573.1733333329903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 t="str">
            <v>585SNPD</v>
          </cell>
          <cell r="B258">
            <v>585</v>
          </cell>
          <cell r="C258" t="str">
            <v>SNPD</v>
          </cell>
          <cell r="D258">
            <v>212693.67</v>
          </cell>
          <cell r="F258" t="str">
            <v>585SNPD</v>
          </cell>
          <cell r="G258">
            <v>585</v>
          </cell>
          <cell r="H258" t="str">
            <v>SNPD</v>
          </cell>
          <cell r="I258">
            <v>212693.67</v>
          </cell>
          <cell r="L258" t="str">
            <v>398SO</v>
          </cell>
          <cell r="M258">
            <v>0</v>
          </cell>
          <cell r="N258">
            <v>0</v>
          </cell>
          <cell r="O258">
            <v>-8089.091800479413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A259" t="str">
            <v>586CA</v>
          </cell>
          <cell r="B259">
            <v>586</v>
          </cell>
          <cell r="C259" t="str">
            <v>CA</v>
          </cell>
          <cell r="D259">
            <v>82498.91</v>
          </cell>
          <cell r="F259" t="str">
            <v>586CA</v>
          </cell>
          <cell r="G259">
            <v>586</v>
          </cell>
          <cell r="H259" t="str">
            <v>CA</v>
          </cell>
          <cell r="I259">
            <v>82498.91</v>
          </cell>
          <cell r="L259" t="str">
            <v>399JBE</v>
          </cell>
          <cell r="M259">
            <v>0</v>
          </cell>
          <cell r="N259">
            <v>0</v>
          </cell>
          <cell r="O259">
            <v>68402453.89308764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 t="str">
            <v>586ID</v>
          </cell>
          <cell r="B260">
            <v>586</v>
          </cell>
          <cell r="C260" t="str">
            <v>ID</v>
          </cell>
          <cell r="D260">
            <v>195412.9</v>
          </cell>
          <cell r="F260" t="str">
            <v>586ID</v>
          </cell>
          <cell r="G260">
            <v>586</v>
          </cell>
          <cell r="H260" t="str">
            <v>ID</v>
          </cell>
          <cell r="I260">
            <v>195412.9</v>
          </cell>
          <cell r="L260" t="str">
            <v>403360S</v>
          </cell>
          <cell r="M260">
            <v>0</v>
          </cell>
          <cell r="N260">
            <v>0</v>
          </cell>
          <cell r="O260">
            <v>-4594.9756120043912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</row>
        <row r="261">
          <cell r="A261" t="str">
            <v>586OR</v>
          </cell>
          <cell r="B261">
            <v>586</v>
          </cell>
          <cell r="C261" t="str">
            <v>OR</v>
          </cell>
          <cell r="D261">
            <v>741264.33</v>
          </cell>
          <cell r="F261" t="str">
            <v>586OR</v>
          </cell>
          <cell r="G261">
            <v>586</v>
          </cell>
          <cell r="H261" t="str">
            <v>OR</v>
          </cell>
          <cell r="I261">
            <v>741264.33</v>
          </cell>
          <cell r="L261" t="str">
            <v>403361S</v>
          </cell>
          <cell r="M261">
            <v>0</v>
          </cell>
          <cell r="N261">
            <v>0</v>
          </cell>
          <cell r="O261">
            <v>-8803.3265403072928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 t="str">
            <v>586SNPD</v>
          </cell>
          <cell r="B262">
            <v>586</v>
          </cell>
          <cell r="C262" t="str">
            <v>SNPD</v>
          </cell>
          <cell r="D262">
            <v>0</v>
          </cell>
          <cell r="F262" t="str">
            <v>586SNPD</v>
          </cell>
          <cell r="G262">
            <v>586</v>
          </cell>
          <cell r="H262" t="str">
            <v>SNPD</v>
          </cell>
          <cell r="I262">
            <v>0</v>
          </cell>
          <cell r="L262" t="str">
            <v>403362S</v>
          </cell>
          <cell r="M262">
            <v>0</v>
          </cell>
          <cell r="N262">
            <v>0</v>
          </cell>
          <cell r="O262">
            <v>-73914.982485869812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</row>
        <row r="263">
          <cell r="A263" t="str">
            <v>586UT</v>
          </cell>
          <cell r="B263">
            <v>586</v>
          </cell>
          <cell r="C263" t="str">
            <v>UT</v>
          </cell>
          <cell r="D263">
            <v>844473.01</v>
          </cell>
          <cell r="F263" t="str">
            <v>586UT</v>
          </cell>
          <cell r="G263">
            <v>586</v>
          </cell>
          <cell r="H263" t="str">
            <v>UT</v>
          </cell>
          <cell r="I263">
            <v>844473.01</v>
          </cell>
          <cell r="L263" t="str">
            <v>403364S</v>
          </cell>
          <cell r="M263">
            <v>0</v>
          </cell>
          <cell r="N263">
            <v>0</v>
          </cell>
          <cell r="O263">
            <v>-88960.332680896565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 t="str">
            <v>586WA</v>
          </cell>
          <cell r="B264">
            <v>586</v>
          </cell>
          <cell r="C264" t="str">
            <v>WA</v>
          </cell>
          <cell r="D264">
            <v>306484.34999999998</v>
          </cell>
          <cell r="F264" t="str">
            <v>586WA</v>
          </cell>
          <cell r="G264">
            <v>586</v>
          </cell>
          <cell r="H264" t="str">
            <v>WA</v>
          </cell>
          <cell r="I264">
            <v>306484.34999999998</v>
          </cell>
          <cell r="L264" t="str">
            <v>403365S</v>
          </cell>
          <cell r="M264">
            <v>0</v>
          </cell>
          <cell r="N264">
            <v>0</v>
          </cell>
          <cell r="O264">
            <v>-56593.215152642631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 t="str">
            <v>586WYP</v>
          </cell>
          <cell r="B265">
            <v>586</v>
          </cell>
          <cell r="C265" t="str">
            <v>WYP</v>
          </cell>
          <cell r="D265">
            <v>346196.5</v>
          </cell>
          <cell r="F265" t="str">
            <v>586WYP</v>
          </cell>
          <cell r="G265">
            <v>586</v>
          </cell>
          <cell r="H265" t="str">
            <v>WYP</v>
          </cell>
          <cell r="I265">
            <v>346196.5</v>
          </cell>
          <cell r="L265" t="str">
            <v>403366S</v>
          </cell>
          <cell r="M265">
            <v>0</v>
          </cell>
          <cell r="N265">
            <v>0</v>
          </cell>
          <cell r="O265">
            <v>-28069.008523290977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</row>
        <row r="266">
          <cell r="A266" t="str">
            <v>586WYU</v>
          </cell>
          <cell r="B266">
            <v>586</v>
          </cell>
          <cell r="C266" t="str">
            <v>WYU</v>
          </cell>
          <cell r="D266">
            <v>108348.53</v>
          </cell>
          <cell r="F266" t="str">
            <v>586WYU</v>
          </cell>
          <cell r="G266">
            <v>586</v>
          </cell>
          <cell r="H266" t="str">
            <v>WYU</v>
          </cell>
          <cell r="I266">
            <v>108348.53</v>
          </cell>
          <cell r="L266" t="str">
            <v>403367S</v>
          </cell>
          <cell r="M266">
            <v>0</v>
          </cell>
          <cell r="N266">
            <v>0</v>
          </cell>
          <cell r="O266">
            <v>-65530.619141797069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 t="str">
            <v>587CA</v>
          </cell>
          <cell r="B267">
            <v>587</v>
          </cell>
          <cell r="C267" t="str">
            <v>CA</v>
          </cell>
          <cell r="D267">
            <v>595685.26</v>
          </cell>
          <cell r="F267" t="str">
            <v>587CA</v>
          </cell>
          <cell r="G267">
            <v>587</v>
          </cell>
          <cell r="H267" t="str">
            <v>CA</v>
          </cell>
          <cell r="I267">
            <v>595685.26</v>
          </cell>
          <cell r="L267" t="str">
            <v>403368S</v>
          </cell>
          <cell r="M267">
            <v>0</v>
          </cell>
          <cell r="N267">
            <v>0</v>
          </cell>
          <cell r="O267">
            <v>-100928.98019836354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 t="str">
            <v>587ID</v>
          </cell>
          <cell r="B268">
            <v>587</v>
          </cell>
          <cell r="C268" t="str">
            <v>ID</v>
          </cell>
          <cell r="D268">
            <v>861601.14</v>
          </cell>
          <cell r="F268" t="str">
            <v>587ID</v>
          </cell>
          <cell r="G268">
            <v>587</v>
          </cell>
          <cell r="H268" t="str">
            <v>ID</v>
          </cell>
          <cell r="I268">
            <v>861601.14</v>
          </cell>
          <cell r="L268" t="str">
            <v>403369S</v>
          </cell>
          <cell r="M268">
            <v>0</v>
          </cell>
          <cell r="N268">
            <v>0</v>
          </cell>
          <cell r="O268">
            <v>-60437.427602943862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</row>
        <row r="269">
          <cell r="A269" t="str">
            <v>587OR</v>
          </cell>
          <cell r="B269">
            <v>587</v>
          </cell>
          <cell r="C269" t="str">
            <v>OR</v>
          </cell>
          <cell r="D269">
            <v>5498261.2199999997</v>
          </cell>
          <cell r="F269" t="str">
            <v>587OR</v>
          </cell>
          <cell r="G269">
            <v>587</v>
          </cell>
          <cell r="H269" t="str">
            <v>OR</v>
          </cell>
          <cell r="I269">
            <v>5498261.2199999997</v>
          </cell>
          <cell r="L269" t="str">
            <v>403370S</v>
          </cell>
          <cell r="M269">
            <v>0</v>
          </cell>
          <cell r="N269">
            <v>0</v>
          </cell>
          <cell r="O269">
            <v>-17102.318116319657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 t="str">
            <v>587UT</v>
          </cell>
          <cell r="B270">
            <v>587</v>
          </cell>
          <cell r="C270" t="str">
            <v>UT</v>
          </cell>
          <cell r="D270">
            <v>5267088.16</v>
          </cell>
          <cell r="F270" t="str">
            <v>587UT</v>
          </cell>
          <cell r="G270">
            <v>587</v>
          </cell>
          <cell r="H270" t="str">
            <v>UT</v>
          </cell>
          <cell r="I270">
            <v>5267088.16</v>
          </cell>
          <cell r="L270" t="str">
            <v>403371S</v>
          </cell>
          <cell r="M270">
            <v>0</v>
          </cell>
          <cell r="N270">
            <v>0</v>
          </cell>
          <cell r="O270">
            <v>-634.6262623800983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</row>
        <row r="271">
          <cell r="A271" t="str">
            <v>587WA</v>
          </cell>
          <cell r="B271">
            <v>587</v>
          </cell>
          <cell r="C271" t="str">
            <v>WA</v>
          </cell>
          <cell r="D271">
            <v>1297988.42</v>
          </cell>
          <cell r="F271" t="str">
            <v>587WA</v>
          </cell>
          <cell r="G271">
            <v>587</v>
          </cell>
          <cell r="H271" t="str">
            <v>WA</v>
          </cell>
          <cell r="I271">
            <v>1297988.42</v>
          </cell>
          <cell r="L271" t="str">
            <v>403373S</v>
          </cell>
          <cell r="M271">
            <v>0</v>
          </cell>
          <cell r="N271">
            <v>0</v>
          </cell>
          <cell r="O271">
            <v>-4516.4086563144265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 t="str">
            <v>587WYP</v>
          </cell>
          <cell r="B272">
            <v>587</v>
          </cell>
          <cell r="C272" t="str">
            <v>WYP</v>
          </cell>
          <cell r="D272">
            <v>1119472.25</v>
          </cell>
          <cell r="F272" t="str">
            <v>587WYP</v>
          </cell>
          <cell r="G272">
            <v>587</v>
          </cell>
          <cell r="H272" t="str">
            <v>WYP</v>
          </cell>
          <cell r="I272">
            <v>1119472.25</v>
          </cell>
          <cell r="L272" t="str">
            <v>403GPCAEE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</row>
        <row r="273">
          <cell r="A273" t="str">
            <v>587WYU</v>
          </cell>
          <cell r="B273">
            <v>587</v>
          </cell>
          <cell r="C273" t="str">
            <v>WYU</v>
          </cell>
          <cell r="D273">
            <v>136524.66</v>
          </cell>
          <cell r="F273" t="str">
            <v>587WYU</v>
          </cell>
          <cell r="G273">
            <v>587</v>
          </cell>
          <cell r="H273" t="str">
            <v>WYU</v>
          </cell>
          <cell r="I273">
            <v>136524.66</v>
          </cell>
          <cell r="L273" t="str">
            <v>403GPCAGE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 t="str">
            <v>588CA</v>
          </cell>
          <cell r="B274">
            <v>588</v>
          </cell>
          <cell r="C274" t="str">
            <v>CA</v>
          </cell>
          <cell r="D274">
            <v>31972.1</v>
          </cell>
          <cell r="F274" t="str">
            <v>588CA</v>
          </cell>
          <cell r="G274">
            <v>588</v>
          </cell>
          <cell r="H274" t="str">
            <v>CA</v>
          </cell>
          <cell r="I274">
            <v>31972.1</v>
          </cell>
          <cell r="L274" t="str">
            <v>403GPCAGW</v>
          </cell>
          <cell r="M274">
            <v>0</v>
          </cell>
          <cell r="N274">
            <v>0</v>
          </cell>
          <cell r="O274">
            <v>65278.869443788462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</row>
        <row r="275">
          <cell r="A275" t="str">
            <v>588ID</v>
          </cell>
          <cell r="B275">
            <v>588</v>
          </cell>
          <cell r="C275" t="str">
            <v>ID</v>
          </cell>
          <cell r="D275">
            <v>-14975.91</v>
          </cell>
          <cell r="F275" t="str">
            <v>588ID</v>
          </cell>
          <cell r="G275">
            <v>588</v>
          </cell>
          <cell r="H275" t="str">
            <v>ID</v>
          </cell>
          <cell r="I275">
            <v>-14975.91</v>
          </cell>
          <cell r="L275" t="str">
            <v>403GPCN</v>
          </cell>
          <cell r="M275">
            <v>0</v>
          </cell>
          <cell r="N275">
            <v>0</v>
          </cell>
          <cell r="O275">
            <v>-13479.215490909184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 t="str">
            <v>588OR</v>
          </cell>
          <cell r="B276">
            <v>588</v>
          </cell>
          <cell r="C276" t="str">
            <v>OR</v>
          </cell>
          <cell r="D276">
            <v>78056.2</v>
          </cell>
          <cell r="F276" t="str">
            <v>588OR</v>
          </cell>
          <cell r="G276">
            <v>588</v>
          </cell>
          <cell r="H276" t="str">
            <v>OR</v>
          </cell>
          <cell r="I276">
            <v>78056.2</v>
          </cell>
          <cell r="L276" t="str">
            <v>403GPJBE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 t="str">
            <v>588SNPD</v>
          </cell>
          <cell r="B277">
            <v>588</v>
          </cell>
          <cell r="C277" t="str">
            <v>SNPD</v>
          </cell>
          <cell r="D277">
            <v>871343.49</v>
          </cell>
          <cell r="F277" t="str">
            <v>588SNPD</v>
          </cell>
          <cell r="G277">
            <v>588</v>
          </cell>
          <cell r="H277" t="str">
            <v>SNPD</v>
          </cell>
          <cell r="I277">
            <v>871343.49</v>
          </cell>
          <cell r="L277" t="str">
            <v>403GPJBG</v>
          </cell>
          <cell r="M277">
            <v>0</v>
          </cell>
          <cell r="N277">
            <v>0</v>
          </cell>
          <cell r="O277">
            <v>-151.33700961844818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</row>
        <row r="278">
          <cell r="A278" t="str">
            <v>588UT</v>
          </cell>
          <cell r="B278">
            <v>588</v>
          </cell>
          <cell r="C278" t="str">
            <v>UT</v>
          </cell>
          <cell r="D278">
            <v>-74727.13</v>
          </cell>
          <cell r="F278" t="str">
            <v>588UT</v>
          </cell>
          <cell r="G278">
            <v>588</v>
          </cell>
          <cell r="H278" t="str">
            <v>UT</v>
          </cell>
          <cell r="I278">
            <v>-74727.13</v>
          </cell>
          <cell r="L278" t="str">
            <v>403GPS</v>
          </cell>
          <cell r="M278">
            <v>0</v>
          </cell>
          <cell r="N278">
            <v>0</v>
          </cell>
          <cell r="O278">
            <v>-203133.66090848343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 t="str">
            <v>588WA</v>
          </cell>
          <cell r="B279">
            <v>588</v>
          </cell>
          <cell r="C279" t="str">
            <v>WA</v>
          </cell>
          <cell r="D279">
            <v>-16075.81</v>
          </cell>
          <cell r="F279" t="str">
            <v>588WA</v>
          </cell>
          <cell r="G279">
            <v>588</v>
          </cell>
          <cell r="H279" t="str">
            <v>WA</v>
          </cell>
          <cell r="I279">
            <v>-16075.81</v>
          </cell>
          <cell r="L279" t="str">
            <v>403GPSG</v>
          </cell>
          <cell r="M279">
            <v>0</v>
          </cell>
          <cell r="N279">
            <v>0</v>
          </cell>
          <cell r="O279">
            <v>352.37147816400596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 t="str">
            <v>588WYP</v>
          </cell>
          <cell r="B280">
            <v>588</v>
          </cell>
          <cell r="C280" t="str">
            <v>WYP</v>
          </cell>
          <cell r="D280">
            <v>-112735.53</v>
          </cell>
          <cell r="F280" t="str">
            <v>588WYP</v>
          </cell>
          <cell r="G280">
            <v>588</v>
          </cell>
          <cell r="H280" t="str">
            <v>WYP</v>
          </cell>
          <cell r="I280">
            <v>-112735.53</v>
          </cell>
          <cell r="L280" t="str">
            <v>403GPSO</v>
          </cell>
          <cell r="M280">
            <v>0</v>
          </cell>
          <cell r="N280">
            <v>0</v>
          </cell>
          <cell r="O280">
            <v>153733.65443336638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A281" t="str">
            <v>588WYU</v>
          </cell>
          <cell r="B281">
            <v>588</v>
          </cell>
          <cell r="C281" t="str">
            <v>WYU</v>
          </cell>
          <cell r="D281">
            <v>-75455.66</v>
          </cell>
          <cell r="F281" t="str">
            <v>588WYU</v>
          </cell>
          <cell r="G281">
            <v>588</v>
          </cell>
          <cell r="H281" t="str">
            <v>WYU</v>
          </cell>
          <cell r="I281">
            <v>-75455.66</v>
          </cell>
          <cell r="L281" t="str">
            <v>403HPCAGE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 t="str">
            <v>589CA</v>
          </cell>
          <cell r="B282">
            <v>589</v>
          </cell>
          <cell r="C282" t="str">
            <v>CA</v>
          </cell>
          <cell r="D282">
            <v>59710.46</v>
          </cell>
          <cell r="F282" t="str">
            <v>589CA</v>
          </cell>
          <cell r="G282">
            <v>589</v>
          </cell>
          <cell r="H282" t="str">
            <v>CA</v>
          </cell>
          <cell r="I282">
            <v>59710.46</v>
          </cell>
          <cell r="L282" t="str">
            <v>403HPCAGW</v>
          </cell>
          <cell r="M282">
            <v>0</v>
          </cell>
          <cell r="N282">
            <v>0</v>
          </cell>
          <cell r="O282">
            <v>-6563311.4315231778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</row>
        <row r="283">
          <cell r="A283" t="str">
            <v>589ID</v>
          </cell>
          <cell r="B283">
            <v>589</v>
          </cell>
          <cell r="C283" t="str">
            <v>ID</v>
          </cell>
          <cell r="D283">
            <v>39337.339999999997</v>
          </cell>
          <cell r="F283" t="str">
            <v>589ID</v>
          </cell>
          <cell r="G283">
            <v>589</v>
          </cell>
          <cell r="H283" t="str">
            <v>ID</v>
          </cell>
          <cell r="I283">
            <v>39337.339999999997</v>
          </cell>
          <cell r="L283" t="str">
            <v>403HPSG</v>
          </cell>
          <cell r="M283">
            <v>0</v>
          </cell>
          <cell r="N283">
            <v>0</v>
          </cell>
          <cell r="O283">
            <v>2385778.0526578436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A284" t="str">
            <v>589OR</v>
          </cell>
          <cell r="B284">
            <v>589</v>
          </cell>
          <cell r="C284" t="str">
            <v>OR</v>
          </cell>
          <cell r="D284">
            <v>1590360.07</v>
          </cell>
          <cell r="F284" t="str">
            <v>589OR</v>
          </cell>
          <cell r="G284">
            <v>589</v>
          </cell>
          <cell r="H284" t="str">
            <v>OR</v>
          </cell>
          <cell r="I284">
            <v>1590360.07</v>
          </cell>
          <cell r="L284" t="str">
            <v>403OPCAGE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</row>
        <row r="285">
          <cell r="A285" t="str">
            <v>589SNPD</v>
          </cell>
          <cell r="B285">
            <v>589</v>
          </cell>
          <cell r="C285" t="str">
            <v>SNPD</v>
          </cell>
          <cell r="D285">
            <v>12973.37</v>
          </cell>
          <cell r="F285" t="str">
            <v>589SNPD</v>
          </cell>
          <cell r="G285">
            <v>589</v>
          </cell>
          <cell r="H285" t="str">
            <v>SNPD</v>
          </cell>
          <cell r="I285">
            <v>12973.37</v>
          </cell>
          <cell r="L285" t="str">
            <v>403OPCAGW</v>
          </cell>
          <cell r="M285">
            <v>0</v>
          </cell>
          <cell r="N285">
            <v>0</v>
          </cell>
          <cell r="O285">
            <v>-4692750.6891568294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</row>
        <row r="286">
          <cell r="A286" t="str">
            <v>589UT</v>
          </cell>
          <cell r="B286">
            <v>589</v>
          </cell>
          <cell r="C286" t="str">
            <v>UT</v>
          </cell>
          <cell r="D286">
            <v>436938.34</v>
          </cell>
          <cell r="F286" t="str">
            <v>589UT</v>
          </cell>
          <cell r="G286">
            <v>589</v>
          </cell>
          <cell r="H286" t="str">
            <v>UT</v>
          </cell>
          <cell r="I286">
            <v>436938.34</v>
          </cell>
          <cell r="L286" t="str">
            <v>403OPSG</v>
          </cell>
          <cell r="M286">
            <v>0</v>
          </cell>
          <cell r="N286">
            <v>0</v>
          </cell>
          <cell r="O286">
            <v>13312684.231893834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 t="str">
            <v>589WA</v>
          </cell>
          <cell r="B287">
            <v>589</v>
          </cell>
          <cell r="C287" t="str">
            <v>WA</v>
          </cell>
          <cell r="D287">
            <v>145358.73000000001</v>
          </cell>
          <cell r="F287" t="str">
            <v>589WA</v>
          </cell>
          <cell r="G287">
            <v>589</v>
          </cell>
          <cell r="H287" t="str">
            <v>WA</v>
          </cell>
          <cell r="I287">
            <v>145358.73000000001</v>
          </cell>
          <cell r="L287" t="str">
            <v>403SPCAGE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A288" t="str">
            <v>589WYP</v>
          </cell>
          <cell r="B288">
            <v>589</v>
          </cell>
          <cell r="C288" t="str">
            <v>WYP</v>
          </cell>
          <cell r="D288">
            <v>487842.79</v>
          </cell>
          <cell r="F288" t="str">
            <v>589WYP</v>
          </cell>
          <cell r="G288">
            <v>589</v>
          </cell>
          <cell r="H288" t="str">
            <v>WYP</v>
          </cell>
          <cell r="I288">
            <v>487842.79</v>
          </cell>
          <cell r="L288" t="str">
            <v>403SPCAGW</v>
          </cell>
          <cell r="M288">
            <v>0</v>
          </cell>
          <cell r="N288">
            <v>0</v>
          </cell>
          <cell r="O288">
            <v>3338723.0168323522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 t="str">
            <v>589WYU</v>
          </cell>
          <cell r="B289">
            <v>589</v>
          </cell>
          <cell r="C289" t="str">
            <v>WYU</v>
          </cell>
          <cell r="D289">
            <v>87096.3</v>
          </cell>
          <cell r="F289" t="str">
            <v>589WYU</v>
          </cell>
          <cell r="G289">
            <v>589</v>
          </cell>
          <cell r="H289" t="str">
            <v>WYU</v>
          </cell>
          <cell r="I289">
            <v>87096.3</v>
          </cell>
          <cell r="L289" t="str">
            <v>403SPJBG</v>
          </cell>
          <cell r="M289">
            <v>0</v>
          </cell>
          <cell r="N289">
            <v>0</v>
          </cell>
          <cell r="O289">
            <v>54287750.774451457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A290" t="str">
            <v>590CA</v>
          </cell>
          <cell r="B290">
            <v>590</v>
          </cell>
          <cell r="C290" t="str">
            <v>CA</v>
          </cell>
          <cell r="D290">
            <v>125443.08</v>
          </cell>
          <cell r="F290" t="str">
            <v>590CA</v>
          </cell>
          <cell r="G290">
            <v>590</v>
          </cell>
          <cell r="H290" t="str">
            <v>CA</v>
          </cell>
          <cell r="I290">
            <v>125443.08</v>
          </cell>
          <cell r="L290" t="str">
            <v>403SPSG</v>
          </cell>
          <cell r="M290">
            <v>0</v>
          </cell>
          <cell r="N290">
            <v>0</v>
          </cell>
          <cell r="O290">
            <v>1090086.8112811148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A291" t="str">
            <v>590ID</v>
          </cell>
          <cell r="B291">
            <v>590</v>
          </cell>
          <cell r="C291" t="str">
            <v>ID</v>
          </cell>
          <cell r="D291">
            <v>148068.51999999999</v>
          </cell>
          <cell r="F291" t="str">
            <v>590ID</v>
          </cell>
          <cell r="G291">
            <v>590</v>
          </cell>
          <cell r="H291" t="str">
            <v>ID</v>
          </cell>
          <cell r="I291">
            <v>148068.51999999999</v>
          </cell>
          <cell r="L291" t="str">
            <v>403TPCAGE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 t="str">
            <v>590OR</v>
          </cell>
          <cell r="B292">
            <v>590</v>
          </cell>
          <cell r="C292" t="str">
            <v>OR</v>
          </cell>
          <cell r="D292">
            <v>948652.94</v>
          </cell>
          <cell r="F292" t="str">
            <v>590OR</v>
          </cell>
          <cell r="G292">
            <v>590</v>
          </cell>
          <cell r="H292" t="str">
            <v>OR</v>
          </cell>
          <cell r="I292">
            <v>948652.94</v>
          </cell>
          <cell r="L292" t="str">
            <v>403TPCAGW</v>
          </cell>
          <cell r="M292">
            <v>0</v>
          </cell>
          <cell r="N292">
            <v>0</v>
          </cell>
          <cell r="O292">
            <v>-5728562.1575725209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 t="str">
            <v>590SNPD</v>
          </cell>
          <cell r="B293">
            <v>590</v>
          </cell>
          <cell r="C293" t="str">
            <v>SNPD</v>
          </cell>
          <cell r="D293">
            <v>2489002.1</v>
          </cell>
          <cell r="F293" t="str">
            <v>590SNPD</v>
          </cell>
          <cell r="G293">
            <v>590</v>
          </cell>
          <cell r="H293" t="str">
            <v>SNPD</v>
          </cell>
          <cell r="I293">
            <v>2489002.1</v>
          </cell>
          <cell r="L293" t="str">
            <v>403TPJBG</v>
          </cell>
          <cell r="M293">
            <v>0</v>
          </cell>
          <cell r="N293">
            <v>0</v>
          </cell>
          <cell r="O293">
            <v>521506.22100414312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</row>
        <row r="294">
          <cell r="A294" t="str">
            <v>590UT</v>
          </cell>
          <cell r="B294">
            <v>590</v>
          </cell>
          <cell r="C294" t="str">
            <v>UT</v>
          </cell>
          <cell r="D294">
            <v>1486148.97</v>
          </cell>
          <cell r="F294" t="str">
            <v>590UT</v>
          </cell>
          <cell r="G294">
            <v>590</v>
          </cell>
          <cell r="H294" t="str">
            <v>UT</v>
          </cell>
          <cell r="I294">
            <v>1486148.97</v>
          </cell>
          <cell r="L294" t="str">
            <v>403TPSG</v>
          </cell>
          <cell r="M294">
            <v>0</v>
          </cell>
          <cell r="N294">
            <v>0</v>
          </cell>
          <cell r="O294">
            <v>11064446.021054668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 t="str">
            <v>590WA</v>
          </cell>
          <cell r="B295">
            <v>590</v>
          </cell>
          <cell r="C295" t="str">
            <v>WA</v>
          </cell>
          <cell r="D295">
            <v>209861.01</v>
          </cell>
          <cell r="F295" t="str">
            <v>590WA</v>
          </cell>
          <cell r="G295">
            <v>590</v>
          </cell>
          <cell r="H295" t="str">
            <v>WA</v>
          </cell>
          <cell r="I295">
            <v>209861.01</v>
          </cell>
          <cell r="L295" t="str">
            <v>404GPCN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A296" t="str">
            <v>590WYP</v>
          </cell>
          <cell r="B296">
            <v>590</v>
          </cell>
          <cell r="C296" t="str">
            <v>WYP</v>
          </cell>
          <cell r="D296">
            <v>533076.41</v>
          </cell>
          <cell r="F296" t="str">
            <v>590WYP</v>
          </cell>
          <cell r="G296">
            <v>590</v>
          </cell>
          <cell r="H296" t="str">
            <v>WYP</v>
          </cell>
          <cell r="I296">
            <v>533076.41</v>
          </cell>
          <cell r="L296" t="str">
            <v>404GPS</v>
          </cell>
          <cell r="M296">
            <v>0</v>
          </cell>
          <cell r="N296">
            <v>0</v>
          </cell>
          <cell r="O296">
            <v>-1526.1600000000035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 t="str">
            <v>591CA</v>
          </cell>
          <cell r="B297">
            <v>591</v>
          </cell>
          <cell r="C297" t="str">
            <v>CA</v>
          </cell>
          <cell r="D297">
            <v>46827.19</v>
          </cell>
          <cell r="F297" t="str">
            <v>591CA</v>
          </cell>
          <cell r="G297">
            <v>591</v>
          </cell>
          <cell r="H297" t="str">
            <v>CA</v>
          </cell>
          <cell r="I297">
            <v>46827.19</v>
          </cell>
          <cell r="L297" t="str">
            <v>404GPSO</v>
          </cell>
          <cell r="M297">
            <v>0</v>
          </cell>
          <cell r="N297">
            <v>0</v>
          </cell>
          <cell r="O297">
            <v>-374.02735307692325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</row>
        <row r="298">
          <cell r="A298" t="str">
            <v>591ID</v>
          </cell>
          <cell r="B298">
            <v>591</v>
          </cell>
          <cell r="C298" t="str">
            <v>ID</v>
          </cell>
          <cell r="D298">
            <v>126531.3</v>
          </cell>
          <cell r="F298" t="str">
            <v>591ID</v>
          </cell>
          <cell r="G298">
            <v>591</v>
          </cell>
          <cell r="H298" t="str">
            <v>ID</v>
          </cell>
          <cell r="I298">
            <v>126531.3</v>
          </cell>
          <cell r="L298" t="str">
            <v>404HPCAGE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 t="str">
            <v>591OR</v>
          </cell>
          <cell r="B299">
            <v>591</v>
          </cell>
          <cell r="C299" t="str">
            <v>OR</v>
          </cell>
          <cell r="D299">
            <v>438530.15</v>
          </cell>
          <cell r="F299" t="str">
            <v>591OR</v>
          </cell>
          <cell r="G299">
            <v>591</v>
          </cell>
          <cell r="H299" t="str">
            <v>OR</v>
          </cell>
          <cell r="I299">
            <v>438530.15</v>
          </cell>
          <cell r="L299" t="str">
            <v>404HPCAGW</v>
          </cell>
          <cell r="M299">
            <v>0</v>
          </cell>
          <cell r="N299">
            <v>0</v>
          </cell>
          <cell r="O299">
            <v>123.11298871157116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</row>
        <row r="300">
          <cell r="A300" t="str">
            <v>591SNPD</v>
          </cell>
          <cell r="B300">
            <v>591</v>
          </cell>
          <cell r="C300" t="str">
            <v>SNPD</v>
          </cell>
          <cell r="D300">
            <v>180851.52</v>
          </cell>
          <cell r="F300" t="str">
            <v>591SNPD</v>
          </cell>
          <cell r="G300">
            <v>591</v>
          </cell>
          <cell r="H300" t="str">
            <v>SNPD</v>
          </cell>
          <cell r="I300">
            <v>180851.52</v>
          </cell>
          <cell r="L300" t="str">
            <v>404IPCAEE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 t="str">
            <v>591UT</v>
          </cell>
          <cell r="B301">
            <v>591</v>
          </cell>
          <cell r="C301" t="str">
            <v>UT</v>
          </cell>
          <cell r="D301">
            <v>956304.67</v>
          </cell>
          <cell r="F301" t="str">
            <v>591UT</v>
          </cell>
          <cell r="G301">
            <v>591</v>
          </cell>
          <cell r="H301" t="str">
            <v>UT</v>
          </cell>
          <cell r="I301">
            <v>956304.67</v>
          </cell>
          <cell r="L301" t="str">
            <v>404IPCAGE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</row>
        <row r="302">
          <cell r="A302" t="str">
            <v>591WA</v>
          </cell>
          <cell r="B302">
            <v>591</v>
          </cell>
          <cell r="C302" t="str">
            <v>WA</v>
          </cell>
          <cell r="D302">
            <v>120601.2</v>
          </cell>
          <cell r="F302" t="str">
            <v>591WA</v>
          </cell>
          <cell r="G302">
            <v>591</v>
          </cell>
          <cell r="H302" t="str">
            <v>WA</v>
          </cell>
          <cell r="I302">
            <v>120601.2</v>
          </cell>
          <cell r="L302" t="str">
            <v>404IPCAGW</v>
          </cell>
          <cell r="M302">
            <v>0</v>
          </cell>
          <cell r="N302">
            <v>0</v>
          </cell>
          <cell r="O302">
            <v>-2368514.1787840375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</row>
        <row r="303">
          <cell r="A303" t="str">
            <v>591WYP</v>
          </cell>
          <cell r="B303">
            <v>591</v>
          </cell>
          <cell r="C303" t="str">
            <v>WYP</v>
          </cell>
          <cell r="D303">
            <v>389343.13</v>
          </cell>
          <cell r="F303" t="str">
            <v>591WYP</v>
          </cell>
          <cell r="G303">
            <v>591</v>
          </cell>
          <cell r="H303" t="str">
            <v>WYP</v>
          </cell>
          <cell r="I303">
            <v>389343.13</v>
          </cell>
          <cell r="L303" t="str">
            <v>404IPCN</v>
          </cell>
          <cell r="M303">
            <v>0</v>
          </cell>
          <cell r="N303">
            <v>0</v>
          </cell>
          <cell r="O303">
            <v>64036.404070909208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 t="str">
            <v>591WYU</v>
          </cell>
          <cell r="B304">
            <v>591</v>
          </cell>
          <cell r="C304" t="str">
            <v>WYU</v>
          </cell>
          <cell r="D304">
            <v>71377.39</v>
          </cell>
          <cell r="F304" t="str">
            <v>591WYU</v>
          </cell>
          <cell r="G304">
            <v>591</v>
          </cell>
          <cell r="H304" t="str">
            <v>WYU</v>
          </cell>
          <cell r="I304">
            <v>71377.39</v>
          </cell>
          <cell r="L304" t="str">
            <v>404IPJBG</v>
          </cell>
          <cell r="M304">
            <v>0</v>
          </cell>
          <cell r="N304">
            <v>0</v>
          </cell>
          <cell r="O304">
            <v>62.437922679898911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</row>
        <row r="305">
          <cell r="A305" t="str">
            <v>592CA</v>
          </cell>
          <cell r="B305">
            <v>592</v>
          </cell>
          <cell r="C305" t="str">
            <v>CA</v>
          </cell>
          <cell r="D305">
            <v>230807.52</v>
          </cell>
          <cell r="F305" t="str">
            <v>592CA</v>
          </cell>
          <cell r="G305">
            <v>592</v>
          </cell>
          <cell r="H305" t="str">
            <v>CA</v>
          </cell>
          <cell r="I305">
            <v>230807.52</v>
          </cell>
          <cell r="L305" t="str">
            <v>404IPS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 t="str">
            <v>592ID</v>
          </cell>
          <cell r="B306">
            <v>592</v>
          </cell>
          <cell r="C306" t="str">
            <v>ID</v>
          </cell>
          <cell r="D306">
            <v>264372.90999999997</v>
          </cell>
          <cell r="F306" t="str">
            <v>592ID</v>
          </cell>
          <cell r="G306">
            <v>592</v>
          </cell>
          <cell r="H306" t="str">
            <v>ID</v>
          </cell>
          <cell r="I306">
            <v>264372.90999999997</v>
          </cell>
          <cell r="L306" t="str">
            <v>404IPSG</v>
          </cell>
          <cell r="M306">
            <v>0</v>
          </cell>
          <cell r="N306">
            <v>0</v>
          </cell>
          <cell r="O306">
            <v>-311786.98056166805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 t="str">
            <v>592OR</v>
          </cell>
          <cell r="B307">
            <v>592</v>
          </cell>
          <cell r="C307" t="str">
            <v>OR</v>
          </cell>
          <cell r="D307">
            <v>2644907.4900000002</v>
          </cell>
          <cell r="F307" t="str">
            <v>592OR</v>
          </cell>
          <cell r="G307">
            <v>592</v>
          </cell>
          <cell r="H307" t="str">
            <v>OR</v>
          </cell>
          <cell r="I307">
            <v>2644907.4900000002</v>
          </cell>
          <cell r="L307" t="str">
            <v>404IPSO</v>
          </cell>
          <cell r="M307">
            <v>0</v>
          </cell>
          <cell r="N307">
            <v>0</v>
          </cell>
          <cell r="O307">
            <v>365243.08188012394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 t="str">
            <v>592SNPD</v>
          </cell>
          <cell r="B308">
            <v>592</v>
          </cell>
          <cell r="C308" t="str">
            <v>SNPD</v>
          </cell>
          <cell r="D308">
            <v>1853389.51</v>
          </cell>
          <cell r="F308" t="str">
            <v>592SNPD</v>
          </cell>
          <cell r="G308">
            <v>592</v>
          </cell>
          <cell r="H308" t="str">
            <v>SNPD</v>
          </cell>
          <cell r="I308">
            <v>1853389.51</v>
          </cell>
          <cell r="L308" t="str">
            <v>404OPCAGE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 t="str">
            <v>592UT</v>
          </cell>
          <cell r="B309">
            <v>592</v>
          </cell>
          <cell r="C309" t="str">
            <v>UT</v>
          </cell>
          <cell r="D309">
            <v>3337201.61</v>
          </cell>
          <cell r="F309" t="str">
            <v>592UT</v>
          </cell>
          <cell r="G309">
            <v>592</v>
          </cell>
          <cell r="H309" t="str">
            <v>UT</v>
          </cell>
          <cell r="I309">
            <v>3337201.61</v>
          </cell>
          <cell r="L309" t="str">
            <v>407CAGW</v>
          </cell>
          <cell r="M309">
            <v>0</v>
          </cell>
          <cell r="N309">
            <v>0</v>
          </cell>
          <cell r="O309">
            <v>174337.46008776425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 t="str">
            <v>592WA</v>
          </cell>
          <cell r="B310">
            <v>592</v>
          </cell>
          <cell r="C310" t="str">
            <v>WA</v>
          </cell>
          <cell r="D310">
            <v>280275.90999999997</v>
          </cell>
          <cell r="F310" t="str">
            <v>592WA</v>
          </cell>
          <cell r="G310">
            <v>592</v>
          </cell>
          <cell r="H310" t="str">
            <v>WA</v>
          </cell>
          <cell r="I310">
            <v>280275.90999999997</v>
          </cell>
          <cell r="L310" t="str">
            <v>407JBG</v>
          </cell>
          <cell r="M310">
            <v>0</v>
          </cell>
          <cell r="N310">
            <v>0</v>
          </cell>
          <cell r="O310">
            <v>3526245.1742366794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</row>
        <row r="311">
          <cell r="A311" t="str">
            <v>592WYP</v>
          </cell>
          <cell r="B311">
            <v>592</v>
          </cell>
          <cell r="C311" t="str">
            <v>WYP</v>
          </cell>
          <cell r="D311">
            <v>987793.69</v>
          </cell>
          <cell r="F311" t="str">
            <v>592WYP</v>
          </cell>
          <cell r="G311">
            <v>592</v>
          </cell>
          <cell r="H311" t="str">
            <v>WYP</v>
          </cell>
          <cell r="I311">
            <v>987793.69</v>
          </cell>
          <cell r="L311" t="str">
            <v>407S</v>
          </cell>
          <cell r="M311">
            <v>0</v>
          </cell>
          <cell r="N311">
            <v>0</v>
          </cell>
          <cell r="O311">
            <v>573050.93356392439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 t="str">
            <v>592WYU</v>
          </cell>
          <cell r="B312">
            <v>592</v>
          </cell>
          <cell r="C312" t="str">
            <v>WYU</v>
          </cell>
          <cell r="D312">
            <v>95879.32</v>
          </cell>
          <cell r="F312" t="str">
            <v>592WYU</v>
          </cell>
          <cell r="G312">
            <v>592</v>
          </cell>
          <cell r="H312" t="str">
            <v>WYU</v>
          </cell>
          <cell r="I312">
            <v>95879.32</v>
          </cell>
          <cell r="L312" t="str">
            <v>408GPS</v>
          </cell>
          <cell r="M312">
            <v>0</v>
          </cell>
          <cell r="N312">
            <v>0</v>
          </cell>
          <cell r="O312">
            <v>2104479.6660802304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</row>
        <row r="313">
          <cell r="A313" t="str">
            <v>593CA</v>
          </cell>
          <cell r="B313">
            <v>593</v>
          </cell>
          <cell r="C313" t="str">
            <v>CA</v>
          </cell>
          <cell r="D313">
            <v>11023466.949999999</v>
          </cell>
          <cell r="F313" t="str">
            <v>593CA</v>
          </cell>
          <cell r="G313">
            <v>593</v>
          </cell>
          <cell r="H313" t="str">
            <v>CA</v>
          </cell>
          <cell r="I313">
            <v>11023466.949999999</v>
          </cell>
          <cell r="L313" t="str">
            <v>408S</v>
          </cell>
          <cell r="M313">
            <v>0</v>
          </cell>
          <cell r="N313">
            <v>0</v>
          </cell>
          <cell r="O313">
            <v>-253684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</row>
        <row r="314">
          <cell r="A314" t="str">
            <v>593ID</v>
          </cell>
          <cell r="B314">
            <v>593</v>
          </cell>
          <cell r="C314" t="str">
            <v>ID</v>
          </cell>
          <cell r="D314">
            <v>3597792.29</v>
          </cell>
          <cell r="F314" t="str">
            <v>593ID</v>
          </cell>
          <cell r="G314">
            <v>593</v>
          </cell>
          <cell r="H314" t="str">
            <v>ID</v>
          </cell>
          <cell r="I314">
            <v>3597792.29</v>
          </cell>
          <cell r="L314" t="str">
            <v>408SG</v>
          </cell>
          <cell r="M314">
            <v>0</v>
          </cell>
          <cell r="N314">
            <v>0</v>
          </cell>
          <cell r="O314">
            <v>180412.60365467297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 t="str">
            <v>593OR</v>
          </cell>
          <cell r="B315">
            <v>593</v>
          </cell>
          <cell r="C315" t="str">
            <v>OR</v>
          </cell>
          <cell r="D315">
            <v>27978321.579999998</v>
          </cell>
          <cell r="F315" t="str">
            <v>593OR</v>
          </cell>
          <cell r="G315">
            <v>593</v>
          </cell>
          <cell r="H315" t="str">
            <v>OR</v>
          </cell>
          <cell r="I315">
            <v>27978321.579999998</v>
          </cell>
          <cell r="L315" t="str">
            <v>40910CAGW</v>
          </cell>
          <cell r="M315">
            <v>0</v>
          </cell>
          <cell r="N315">
            <v>0</v>
          </cell>
          <cell r="O315">
            <v>1098570.6191871969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</row>
        <row r="316">
          <cell r="A316" t="str">
            <v>593SNPD</v>
          </cell>
          <cell r="B316">
            <v>593</v>
          </cell>
          <cell r="C316" t="str">
            <v>SNPD</v>
          </cell>
          <cell r="D316">
            <v>2197738.59</v>
          </cell>
          <cell r="F316" t="str">
            <v>593SNPD</v>
          </cell>
          <cell r="G316">
            <v>593</v>
          </cell>
          <cell r="H316" t="str">
            <v>SNPD</v>
          </cell>
          <cell r="I316">
            <v>2197738.59</v>
          </cell>
          <cell r="L316" t="str">
            <v>40910SG</v>
          </cell>
          <cell r="M316">
            <v>0</v>
          </cell>
          <cell r="N316">
            <v>0</v>
          </cell>
          <cell r="O316">
            <v>-15107365.283422492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 t="str">
            <v>593UT</v>
          </cell>
          <cell r="B317">
            <v>593</v>
          </cell>
          <cell r="C317" t="str">
            <v>UT</v>
          </cell>
          <cell r="D317">
            <v>33108488.16</v>
          </cell>
          <cell r="F317" t="str">
            <v>593UT</v>
          </cell>
          <cell r="G317">
            <v>593</v>
          </cell>
          <cell r="H317" t="str">
            <v>UT</v>
          </cell>
          <cell r="I317">
            <v>33108488.16</v>
          </cell>
          <cell r="L317" t="str">
            <v>41010CAEE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 t="str">
            <v>593WA</v>
          </cell>
          <cell r="B318">
            <v>593</v>
          </cell>
          <cell r="C318" t="str">
            <v>WA</v>
          </cell>
          <cell r="D318">
            <v>5186526.8099999996</v>
          </cell>
          <cell r="F318" t="str">
            <v>593WA</v>
          </cell>
          <cell r="G318">
            <v>593</v>
          </cell>
          <cell r="H318" t="str">
            <v>WA</v>
          </cell>
          <cell r="I318">
            <v>5186526.8099999996</v>
          </cell>
          <cell r="L318" t="str">
            <v>41010CAGE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</row>
        <row r="319">
          <cell r="A319" t="str">
            <v>593WYP</v>
          </cell>
          <cell r="B319">
            <v>593</v>
          </cell>
          <cell r="C319" t="str">
            <v>WYP</v>
          </cell>
          <cell r="D319">
            <v>5403594.0899999999</v>
          </cell>
          <cell r="F319" t="str">
            <v>593WYP</v>
          </cell>
          <cell r="G319">
            <v>593</v>
          </cell>
          <cell r="H319" t="str">
            <v>WYP</v>
          </cell>
          <cell r="I319">
            <v>5403594.0899999999</v>
          </cell>
          <cell r="L319" t="str">
            <v>41010CAGW</v>
          </cell>
          <cell r="M319">
            <v>0</v>
          </cell>
          <cell r="N319">
            <v>0</v>
          </cell>
          <cell r="O319">
            <v>558781.3367251422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 t="str">
            <v>593WYU</v>
          </cell>
          <cell r="B320">
            <v>593</v>
          </cell>
          <cell r="C320" t="str">
            <v>WYU</v>
          </cell>
          <cell r="D320">
            <v>809052.02</v>
          </cell>
          <cell r="F320" t="str">
            <v>593WYU</v>
          </cell>
          <cell r="G320">
            <v>593</v>
          </cell>
          <cell r="H320" t="str">
            <v>WYU</v>
          </cell>
          <cell r="I320">
            <v>809052.02</v>
          </cell>
          <cell r="L320" t="str">
            <v>41010CN</v>
          </cell>
          <cell r="M320">
            <v>0</v>
          </cell>
          <cell r="N320">
            <v>0</v>
          </cell>
          <cell r="O320">
            <v>-12430.30301094371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 t="str">
            <v>594CA</v>
          </cell>
          <cell r="B321">
            <v>594</v>
          </cell>
          <cell r="C321" t="str">
            <v>CA</v>
          </cell>
          <cell r="D321">
            <v>439797.14</v>
          </cell>
          <cell r="F321" t="str">
            <v>594CA</v>
          </cell>
          <cell r="G321">
            <v>594</v>
          </cell>
          <cell r="H321" t="str">
            <v>CA</v>
          </cell>
          <cell r="I321">
            <v>439797.14</v>
          </cell>
          <cell r="L321" t="str">
            <v>41010JBG</v>
          </cell>
          <cell r="M321">
            <v>0</v>
          </cell>
          <cell r="N321">
            <v>0</v>
          </cell>
          <cell r="O321">
            <v>2167648.8786045355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 t="str">
            <v>594ID</v>
          </cell>
          <cell r="B322">
            <v>594</v>
          </cell>
          <cell r="C322" t="str">
            <v>ID</v>
          </cell>
          <cell r="D322">
            <v>865416.49</v>
          </cell>
          <cell r="F322" t="str">
            <v>594ID</v>
          </cell>
          <cell r="G322">
            <v>594</v>
          </cell>
          <cell r="H322" t="str">
            <v>ID</v>
          </cell>
          <cell r="I322">
            <v>865416.49</v>
          </cell>
          <cell r="L322" t="str">
            <v>41010S</v>
          </cell>
          <cell r="M322">
            <v>0</v>
          </cell>
          <cell r="N322">
            <v>0</v>
          </cell>
          <cell r="O322">
            <v>1731860.6372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 t="str">
            <v>594OR</v>
          </cell>
          <cell r="B323">
            <v>594</v>
          </cell>
          <cell r="C323" t="str">
            <v>OR</v>
          </cell>
          <cell r="D323">
            <v>6234962.9000000004</v>
          </cell>
          <cell r="F323" t="str">
            <v>594OR</v>
          </cell>
          <cell r="G323">
            <v>594</v>
          </cell>
          <cell r="H323" t="str">
            <v>OR</v>
          </cell>
          <cell r="I323">
            <v>6234962.9000000004</v>
          </cell>
          <cell r="L323" t="str">
            <v>41010SG</v>
          </cell>
          <cell r="M323">
            <v>0</v>
          </cell>
          <cell r="N323">
            <v>0</v>
          </cell>
          <cell r="O323">
            <v>5140555.9557269607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A324" t="str">
            <v>594SNPD</v>
          </cell>
          <cell r="B324">
            <v>594</v>
          </cell>
          <cell r="C324" t="str">
            <v>SNPD</v>
          </cell>
          <cell r="D324">
            <v>24640.67</v>
          </cell>
          <cell r="F324" t="str">
            <v>594SNPD</v>
          </cell>
          <cell r="G324">
            <v>594</v>
          </cell>
          <cell r="H324" t="str">
            <v>SNPD</v>
          </cell>
          <cell r="I324">
            <v>24640.67</v>
          </cell>
          <cell r="L324" t="str">
            <v>41010SO</v>
          </cell>
          <cell r="M324">
            <v>0</v>
          </cell>
          <cell r="N324">
            <v>0</v>
          </cell>
          <cell r="O324">
            <v>81240.984161380591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 t="str">
            <v>594UT</v>
          </cell>
          <cell r="B325">
            <v>594</v>
          </cell>
          <cell r="C325" t="str">
            <v>UT</v>
          </cell>
          <cell r="D325">
            <v>14953597.539999999</v>
          </cell>
          <cell r="F325" t="str">
            <v>594UT</v>
          </cell>
          <cell r="G325">
            <v>594</v>
          </cell>
          <cell r="H325" t="str">
            <v>UT</v>
          </cell>
          <cell r="I325">
            <v>14953597.539999999</v>
          </cell>
          <cell r="L325" t="str">
            <v>41010TAXDEPR</v>
          </cell>
          <cell r="M325">
            <v>0</v>
          </cell>
          <cell r="N325">
            <v>0</v>
          </cell>
          <cell r="O325">
            <v>4405949.3679882642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A326" t="str">
            <v>594WA</v>
          </cell>
          <cell r="B326">
            <v>594</v>
          </cell>
          <cell r="C326" t="str">
            <v>WA</v>
          </cell>
          <cell r="D326">
            <v>1200598.98</v>
          </cell>
          <cell r="F326" t="str">
            <v>594WA</v>
          </cell>
          <cell r="G326">
            <v>594</v>
          </cell>
          <cell r="H326" t="str">
            <v>WA</v>
          </cell>
          <cell r="I326">
            <v>1200598.98</v>
          </cell>
          <cell r="L326" t="str">
            <v>41110CAGW</v>
          </cell>
          <cell r="M326">
            <v>0</v>
          </cell>
          <cell r="N326">
            <v>0</v>
          </cell>
          <cell r="O326">
            <v>-1158644.9761725278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 t="str">
            <v>594WYP</v>
          </cell>
          <cell r="B327">
            <v>594</v>
          </cell>
          <cell r="C327" t="str">
            <v>WYP</v>
          </cell>
          <cell r="D327">
            <v>1809322.93</v>
          </cell>
          <cell r="F327" t="str">
            <v>594WYP</v>
          </cell>
          <cell r="G327">
            <v>594</v>
          </cell>
          <cell r="H327" t="str">
            <v>WYP</v>
          </cell>
          <cell r="I327">
            <v>1809322.93</v>
          </cell>
          <cell r="L327" t="str">
            <v>41110JBG</v>
          </cell>
          <cell r="M327">
            <v>0</v>
          </cell>
          <cell r="N327">
            <v>0</v>
          </cell>
          <cell r="O327">
            <v>-17140149.462375358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A328" t="str">
            <v>594WYU</v>
          </cell>
          <cell r="B328">
            <v>594</v>
          </cell>
          <cell r="C328" t="str">
            <v>WYU</v>
          </cell>
          <cell r="D328">
            <v>245840.81</v>
          </cell>
          <cell r="F328" t="str">
            <v>594WYU</v>
          </cell>
          <cell r="G328">
            <v>594</v>
          </cell>
          <cell r="H328" t="str">
            <v>WYU</v>
          </cell>
          <cell r="I328">
            <v>245840.81</v>
          </cell>
          <cell r="L328" t="str">
            <v>41110S</v>
          </cell>
          <cell r="M328">
            <v>0</v>
          </cell>
          <cell r="N328">
            <v>0</v>
          </cell>
          <cell r="O328">
            <v>-7697093.0999999996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 t="str">
            <v>595CA</v>
          </cell>
          <cell r="B329">
            <v>595</v>
          </cell>
          <cell r="C329" t="str">
            <v>CA</v>
          </cell>
          <cell r="D329">
            <v>0</v>
          </cell>
          <cell r="F329" t="str">
            <v>595CA</v>
          </cell>
          <cell r="G329">
            <v>595</v>
          </cell>
          <cell r="H329" t="str">
            <v>CA</v>
          </cell>
          <cell r="I329">
            <v>0</v>
          </cell>
          <cell r="L329" t="str">
            <v>41110SCHMDEXP</v>
          </cell>
          <cell r="M329">
            <v>0</v>
          </cell>
          <cell r="N329">
            <v>0</v>
          </cell>
          <cell r="O329">
            <v>3009204.4824821595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 t="str">
            <v>595ID</v>
          </cell>
          <cell r="B330">
            <v>595</v>
          </cell>
          <cell r="C330" t="str">
            <v>ID</v>
          </cell>
          <cell r="D330">
            <v>0</v>
          </cell>
          <cell r="F330" t="str">
            <v>595ID</v>
          </cell>
          <cell r="G330">
            <v>595</v>
          </cell>
          <cell r="H330" t="str">
            <v>ID</v>
          </cell>
          <cell r="I330">
            <v>0</v>
          </cell>
          <cell r="L330" t="str">
            <v>41110SG</v>
          </cell>
          <cell r="M330">
            <v>0</v>
          </cell>
          <cell r="N330">
            <v>0</v>
          </cell>
          <cell r="O330">
            <v>31200.986820867693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</row>
        <row r="331">
          <cell r="A331" t="str">
            <v>595OR</v>
          </cell>
          <cell r="B331">
            <v>595</v>
          </cell>
          <cell r="C331" t="str">
            <v>OR</v>
          </cell>
          <cell r="D331">
            <v>0</v>
          </cell>
          <cell r="F331" t="str">
            <v>595OR</v>
          </cell>
          <cell r="G331">
            <v>595</v>
          </cell>
          <cell r="H331" t="str">
            <v>OR</v>
          </cell>
          <cell r="I331">
            <v>0</v>
          </cell>
          <cell r="L331" t="str">
            <v>41110SO</v>
          </cell>
          <cell r="M331">
            <v>0</v>
          </cell>
          <cell r="N331">
            <v>0</v>
          </cell>
          <cell r="O331">
            <v>7366.979001068712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 t="str">
            <v>595SNPD</v>
          </cell>
          <cell r="B332">
            <v>595</v>
          </cell>
          <cell r="C332" t="str">
            <v>SNPD</v>
          </cell>
          <cell r="D332">
            <v>957890.76</v>
          </cell>
          <cell r="F332" t="str">
            <v>595SNPD</v>
          </cell>
          <cell r="G332">
            <v>595</v>
          </cell>
          <cell r="H332" t="str">
            <v>SNPD</v>
          </cell>
          <cell r="I332">
            <v>957890.76</v>
          </cell>
          <cell r="L332" t="str">
            <v>419SNP</v>
          </cell>
          <cell r="M332">
            <v>0</v>
          </cell>
          <cell r="N332">
            <v>0</v>
          </cell>
          <cell r="O332">
            <v>-4620.2408263712532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 t="str">
            <v>595UT</v>
          </cell>
          <cell r="B333">
            <v>595</v>
          </cell>
          <cell r="C333" t="str">
            <v>UT</v>
          </cell>
          <cell r="D333">
            <v>0</v>
          </cell>
          <cell r="F333" t="str">
            <v>595UT</v>
          </cell>
          <cell r="G333">
            <v>595</v>
          </cell>
          <cell r="H333" t="str">
            <v>UT</v>
          </cell>
          <cell r="I333">
            <v>0</v>
          </cell>
          <cell r="L333" t="str">
            <v>421CAGE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</row>
        <row r="334">
          <cell r="A334" t="str">
            <v>595WA</v>
          </cell>
          <cell r="B334">
            <v>595</v>
          </cell>
          <cell r="C334" t="str">
            <v>WA</v>
          </cell>
          <cell r="D334">
            <v>0</v>
          </cell>
          <cell r="F334" t="str">
            <v>595WA</v>
          </cell>
          <cell r="G334">
            <v>595</v>
          </cell>
          <cell r="H334" t="str">
            <v>WA</v>
          </cell>
          <cell r="I334">
            <v>0</v>
          </cell>
          <cell r="L334" t="str">
            <v>421S</v>
          </cell>
          <cell r="M334">
            <v>0</v>
          </cell>
          <cell r="N334">
            <v>0</v>
          </cell>
          <cell r="O334">
            <v>-61.68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 t="str">
            <v>595WYU</v>
          </cell>
          <cell r="B335">
            <v>595</v>
          </cell>
          <cell r="C335" t="str">
            <v>WYU</v>
          </cell>
          <cell r="D335">
            <v>0</v>
          </cell>
          <cell r="F335" t="str">
            <v>595WYU</v>
          </cell>
          <cell r="G335">
            <v>595</v>
          </cell>
          <cell r="H335" t="str">
            <v>WYU</v>
          </cell>
          <cell r="I335">
            <v>0</v>
          </cell>
          <cell r="L335" t="str">
            <v>421SO</v>
          </cell>
          <cell r="M335">
            <v>0</v>
          </cell>
          <cell r="N335">
            <v>0</v>
          </cell>
          <cell r="O335">
            <v>265210.97931887087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</row>
        <row r="336">
          <cell r="A336" t="str">
            <v>596CA</v>
          </cell>
          <cell r="B336">
            <v>596</v>
          </cell>
          <cell r="C336" t="str">
            <v>CA</v>
          </cell>
          <cell r="D336">
            <v>82411.03</v>
          </cell>
          <cell r="F336" t="str">
            <v>596CA</v>
          </cell>
          <cell r="G336">
            <v>596</v>
          </cell>
          <cell r="H336" t="str">
            <v>CA</v>
          </cell>
          <cell r="I336">
            <v>82411.03</v>
          </cell>
          <cell r="L336" t="str">
            <v>427S</v>
          </cell>
          <cell r="M336">
            <v>0</v>
          </cell>
          <cell r="N336">
            <v>0</v>
          </cell>
          <cell r="O336">
            <v>5168181.4787926823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 t="str">
            <v>596ID</v>
          </cell>
          <cell r="B337">
            <v>596</v>
          </cell>
          <cell r="C337" t="str">
            <v>ID</v>
          </cell>
          <cell r="D337">
            <v>93989.31</v>
          </cell>
          <cell r="F337" t="str">
            <v>596ID</v>
          </cell>
          <cell r="G337">
            <v>596</v>
          </cell>
          <cell r="H337" t="str">
            <v>ID</v>
          </cell>
          <cell r="I337">
            <v>93989.31</v>
          </cell>
          <cell r="L337" t="str">
            <v>4311S</v>
          </cell>
          <cell r="M337">
            <v>0</v>
          </cell>
          <cell r="N337">
            <v>0</v>
          </cell>
          <cell r="O337">
            <v>60419.600000000006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 t="str">
            <v>596OR</v>
          </cell>
          <cell r="B338">
            <v>596</v>
          </cell>
          <cell r="C338" t="str">
            <v>OR</v>
          </cell>
          <cell r="D338">
            <v>849568.93</v>
          </cell>
          <cell r="F338" t="str">
            <v>596OR</v>
          </cell>
          <cell r="G338">
            <v>596</v>
          </cell>
          <cell r="H338" t="str">
            <v>OR</v>
          </cell>
          <cell r="I338">
            <v>849568.93</v>
          </cell>
          <cell r="L338" t="str">
            <v>440S</v>
          </cell>
          <cell r="M338">
            <v>0</v>
          </cell>
          <cell r="N338">
            <v>0</v>
          </cell>
          <cell r="O338">
            <v>12934518.4316839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 t="str">
            <v>596UT</v>
          </cell>
          <cell r="B339">
            <v>596</v>
          </cell>
          <cell r="C339" t="str">
            <v>UT</v>
          </cell>
          <cell r="D339">
            <v>1272348.92</v>
          </cell>
          <cell r="F339" t="str">
            <v>596UT</v>
          </cell>
          <cell r="G339">
            <v>596</v>
          </cell>
          <cell r="H339" t="str">
            <v>UT</v>
          </cell>
          <cell r="I339">
            <v>1272348.92</v>
          </cell>
          <cell r="L339" t="str">
            <v>442S</v>
          </cell>
          <cell r="M339">
            <v>0</v>
          </cell>
          <cell r="N339">
            <v>0</v>
          </cell>
          <cell r="O339">
            <v>26976762.590316184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A340" t="str">
            <v>596WA</v>
          </cell>
          <cell r="B340">
            <v>596</v>
          </cell>
          <cell r="C340" t="str">
            <v>WA</v>
          </cell>
          <cell r="D340">
            <v>140544.63</v>
          </cell>
          <cell r="F340" t="str">
            <v>596WA</v>
          </cell>
          <cell r="G340">
            <v>596</v>
          </cell>
          <cell r="H340" t="str">
            <v>WA</v>
          </cell>
          <cell r="I340">
            <v>140544.63</v>
          </cell>
          <cell r="L340" t="str">
            <v>444S</v>
          </cell>
          <cell r="M340">
            <v>0</v>
          </cell>
          <cell r="N340">
            <v>0</v>
          </cell>
          <cell r="O340">
            <v>112028.35877330475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 t="str">
            <v>596WYP</v>
          </cell>
          <cell r="B341">
            <v>596</v>
          </cell>
          <cell r="C341" t="str">
            <v>WYP</v>
          </cell>
          <cell r="D341">
            <v>355115.53</v>
          </cell>
          <cell r="F341" t="str">
            <v>596WYP</v>
          </cell>
          <cell r="G341">
            <v>596</v>
          </cell>
          <cell r="H341" t="str">
            <v>WYP</v>
          </cell>
          <cell r="I341">
            <v>355115.53</v>
          </cell>
          <cell r="L341" t="str">
            <v>445S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</row>
        <row r="342">
          <cell r="A342" t="str">
            <v>596WYU</v>
          </cell>
          <cell r="B342">
            <v>596</v>
          </cell>
          <cell r="C342" t="str">
            <v>WYU</v>
          </cell>
          <cell r="D342">
            <v>113902.99</v>
          </cell>
          <cell r="F342" t="str">
            <v>596WYU</v>
          </cell>
          <cell r="G342">
            <v>596</v>
          </cell>
          <cell r="H342" t="str">
            <v>WYU</v>
          </cell>
          <cell r="I342">
            <v>113902.99</v>
          </cell>
          <cell r="L342" t="str">
            <v>447NPCCAEW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 t="str">
            <v>597CA</v>
          </cell>
          <cell r="B343">
            <v>597</v>
          </cell>
          <cell r="C343" t="str">
            <v>CA</v>
          </cell>
          <cell r="D343">
            <v>20473.3</v>
          </cell>
          <cell r="F343" t="str">
            <v>597CA</v>
          </cell>
          <cell r="G343">
            <v>597</v>
          </cell>
          <cell r="H343" t="str">
            <v>CA</v>
          </cell>
          <cell r="I343">
            <v>20473.3</v>
          </cell>
          <cell r="L343" t="str">
            <v>447NPCCAGW</v>
          </cell>
          <cell r="M343">
            <v>0</v>
          </cell>
          <cell r="N343">
            <v>0</v>
          </cell>
          <cell r="O343">
            <v>-372719.74523370899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 t="str">
            <v>597ID</v>
          </cell>
          <cell r="B344">
            <v>597</v>
          </cell>
          <cell r="C344" t="str">
            <v>ID</v>
          </cell>
          <cell r="D344">
            <v>40275.51</v>
          </cell>
          <cell r="F344" t="str">
            <v>597ID</v>
          </cell>
          <cell r="G344">
            <v>597</v>
          </cell>
          <cell r="H344" t="str">
            <v>ID</v>
          </cell>
          <cell r="I344">
            <v>40275.51</v>
          </cell>
          <cell r="L344" t="str">
            <v>447NPCS</v>
          </cell>
          <cell r="M344">
            <v>0</v>
          </cell>
          <cell r="N344">
            <v>0</v>
          </cell>
          <cell r="O344">
            <v>-14476811.784625905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</row>
        <row r="345">
          <cell r="A345" t="str">
            <v>597OR</v>
          </cell>
          <cell r="B345">
            <v>597</v>
          </cell>
          <cell r="C345" t="str">
            <v>OR</v>
          </cell>
          <cell r="D345">
            <v>258545.42</v>
          </cell>
          <cell r="F345" t="str">
            <v>597OR</v>
          </cell>
          <cell r="G345">
            <v>597</v>
          </cell>
          <cell r="H345" t="str">
            <v>OR</v>
          </cell>
          <cell r="I345">
            <v>258545.42</v>
          </cell>
          <cell r="L345" t="str">
            <v>451S</v>
          </cell>
          <cell r="M345">
            <v>0</v>
          </cell>
          <cell r="N345">
            <v>0</v>
          </cell>
          <cell r="O345">
            <v>-427912.20158807386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 t="str">
            <v>597SNPD</v>
          </cell>
          <cell r="B346">
            <v>597</v>
          </cell>
          <cell r="C346" t="str">
            <v>SNPD</v>
          </cell>
          <cell r="D346">
            <v>-265352.82</v>
          </cell>
          <cell r="F346" t="str">
            <v>597SNPD</v>
          </cell>
          <cell r="G346">
            <v>597</v>
          </cell>
          <cell r="H346" t="str">
            <v>SNPD</v>
          </cell>
          <cell r="I346">
            <v>-265352.82</v>
          </cell>
          <cell r="L346" t="str">
            <v>456CAGE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</row>
        <row r="347">
          <cell r="A347" t="str">
            <v>597UT</v>
          </cell>
          <cell r="B347">
            <v>597</v>
          </cell>
          <cell r="C347" t="str">
            <v>UT</v>
          </cell>
          <cell r="D347">
            <v>240303.66</v>
          </cell>
          <cell r="F347" t="str">
            <v>597UT</v>
          </cell>
          <cell r="G347">
            <v>597</v>
          </cell>
          <cell r="H347" t="str">
            <v>UT</v>
          </cell>
          <cell r="I347">
            <v>240303.66</v>
          </cell>
          <cell r="L347" t="str">
            <v>456CAGW</v>
          </cell>
          <cell r="M347">
            <v>0</v>
          </cell>
          <cell r="N347">
            <v>0</v>
          </cell>
          <cell r="O347">
            <v>-9999.7793424724368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 t="str">
            <v>597WA</v>
          </cell>
          <cell r="B348">
            <v>597</v>
          </cell>
          <cell r="C348" t="str">
            <v>WA</v>
          </cell>
          <cell r="D348">
            <v>32049.69</v>
          </cell>
          <cell r="F348" t="str">
            <v>597WA</v>
          </cell>
          <cell r="G348">
            <v>597</v>
          </cell>
          <cell r="H348" t="str">
            <v>WA</v>
          </cell>
          <cell r="I348">
            <v>32049.69</v>
          </cell>
          <cell r="L348" t="str">
            <v>456S</v>
          </cell>
          <cell r="M348">
            <v>0</v>
          </cell>
          <cell r="N348">
            <v>0</v>
          </cell>
          <cell r="O348">
            <v>47809.260000000009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 t="str">
            <v>597WYP</v>
          </cell>
          <cell r="B349">
            <v>597</v>
          </cell>
          <cell r="C349" t="str">
            <v>WYP</v>
          </cell>
          <cell r="D349">
            <v>35805.47</v>
          </cell>
          <cell r="F349" t="str">
            <v>597WYP</v>
          </cell>
          <cell r="G349">
            <v>597</v>
          </cell>
          <cell r="H349" t="str">
            <v>WYP</v>
          </cell>
          <cell r="I349">
            <v>35805.47</v>
          </cell>
          <cell r="L349" t="str">
            <v>456SG</v>
          </cell>
          <cell r="M349">
            <v>0</v>
          </cell>
          <cell r="N349">
            <v>0</v>
          </cell>
          <cell r="O349">
            <v>9206733.6732749734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A350" t="str">
            <v>597WYU</v>
          </cell>
          <cell r="B350">
            <v>597</v>
          </cell>
          <cell r="C350" t="str">
            <v>WYU</v>
          </cell>
          <cell r="D350">
            <v>14281.5</v>
          </cell>
          <cell r="F350" t="str">
            <v>597WYU</v>
          </cell>
          <cell r="G350">
            <v>597</v>
          </cell>
          <cell r="H350" t="str">
            <v>WYU</v>
          </cell>
          <cell r="I350">
            <v>14281.5</v>
          </cell>
          <cell r="L350" t="str">
            <v>456WRE</v>
          </cell>
          <cell r="M350">
            <v>0</v>
          </cell>
          <cell r="N350">
            <v>0</v>
          </cell>
          <cell r="O350">
            <v>-857882.39441257808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 t="str">
            <v>598CA</v>
          </cell>
          <cell r="B351">
            <v>598</v>
          </cell>
          <cell r="C351" t="str">
            <v>CA</v>
          </cell>
          <cell r="D351">
            <v>68513.279999999999</v>
          </cell>
          <cell r="F351" t="str">
            <v>598CA</v>
          </cell>
          <cell r="G351">
            <v>598</v>
          </cell>
          <cell r="H351" t="str">
            <v>CA</v>
          </cell>
          <cell r="I351">
            <v>68513.279999999999</v>
          </cell>
          <cell r="L351" t="str">
            <v>456WRG</v>
          </cell>
          <cell r="M351">
            <v>0</v>
          </cell>
          <cell r="N351">
            <v>0</v>
          </cell>
          <cell r="O351">
            <v>-4729005.2932926398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</row>
        <row r="352">
          <cell r="A352" t="str">
            <v>598ID</v>
          </cell>
          <cell r="B352">
            <v>598</v>
          </cell>
          <cell r="C352" t="str">
            <v>ID</v>
          </cell>
          <cell r="D352">
            <v>82521.66</v>
          </cell>
          <cell r="F352" t="str">
            <v>598ID</v>
          </cell>
          <cell r="G352">
            <v>598</v>
          </cell>
          <cell r="H352" t="str">
            <v>ID</v>
          </cell>
          <cell r="I352">
            <v>82521.66</v>
          </cell>
          <cell r="L352" t="str">
            <v>500CAGE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 t="str">
            <v>598OR</v>
          </cell>
          <cell r="B353">
            <v>598</v>
          </cell>
          <cell r="C353" t="str">
            <v>OR</v>
          </cell>
          <cell r="D353">
            <v>619578.43000000005</v>
          </cell>
          <cell r="F353" t="str">
            <v>598OR</v>
          </cell>
          <cell r="G353">
            <v>598</v>
          </cell>
          <cell r="H353" t="str">
            <v>OR</v>
          </cell>
          <cell r="I353">
            <v>619578.43000000005</v>
          </cell>
          <cell r="L353" t="str">
            <v>500CAGW</v>
          </cell>
          <cell r="M353">
            <v>0</v>
          </cell>
          <cell r="N353">
            <v>0</v>
          </cell>
          <cell r="O353">
            <v>-2156.2262297734023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</row>
        <row r="354">
          <cell r="A354" t="str">
            <v>598SNPD</v>
          </cell>
          <cell r="B354">
            <v>598</v>
          </cell>
          <cell r="C354" t="str">
            <v>SNPD</v>
          </cell>
          <cell r="D354">
            <v>3397284.68</v>
          </cell>
          <cell r="F354" t="str">
            <v>598SNPD</v>
          </cell>
          <cell r="G354">
            <v>598</v>
          </cell>
          <cell r="H354" t="str">
            <v>SNPD</v>
          </cell>
          <cell r="I354">
            <v>3397284.68</v>
          </cell>
          <cell r="L354" t="str">
            <v>500JBG</v>
          </cell>
          <cell r="M354">
            <v>0</v>
          </cell>
          <cell r="N354">
            <v>0</v>
          </cell>
          <cell r="O354">
            <v>24798.145810665763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 t="str">
            <v>598UT</v>
          </cell>
          <cell r="B355">
            <v>598</v>
          </cell>
          <cell r="C355" t="str">
            <v>UT</v>
          </cell>
          <cell r="D355">
            <v>672326.44</v>
          </cell>
          <cell r="F355" t="str">
            <v>598UT</v>
          </cell>
          <cell r="G355">
            <v>598</v>
          </cell>
          <cell r="H355" t="str">
            <v>UT</v>
          </cell>
          <cell r="I355">
            <v>672326.44</v>
          </cell>
          <cell r="L355" t="str">
            <v>500SG</v>
          </cell>
          <cell r="M355">
            <v>0</v>
          </cell>
          <cell r="N355">
            <v>0</v>
          </cell>
          <cell r="O355">
            <v>1349.0666668767151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A356" t="str">
            <v>598WA</v>
          </cell>
          <cell r="B356">
            <v>598</v>
          </cell>
          <cell r="C356" t="str">
            <v>WA</v>
          </cell>
          <cell r="D356">
            <v>127521.79</v>
          </cell>
          <cell r="F356" t="str">
            <v>598WA</v>
          </cell>
          <cell r="G356">
            <v>598</v>
          </cell>
          <cell r="H356" t="str">
            <v>WA</v>
          </cell>
          <cell r="I356">
            <v>127521.79</v>
          </cell>
          <cell r="L356" t="str">
            <v>501CAEE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 t="str">
            <v>598WYP</v>
          </cell>
          <cell r="B357">
            <v>598</v>
          </cell>
          <cell r="C357" t="str">
            <v>WYP</v>
          </cell>
          <cell r="D357">
            <v>184975.28</v>
          </cell>
          <cell r="F357" t="str">
            <v>598WYP</v>
          </cell>
          <cell r="G357">
            <v>598</v>
          </cell>
          <cell r="H357" t="str">
            <v>WYP</v>
          </cell>
          <cell r="I357">
            <v>184975.28</v>
          </cell>
          <cell r="L357" t="str">
            <v>501CAGW</v>
          </cell>
          <cell r="M357">
            <v>0</v>
          </cell>
          <cell r="N357">
            <v>0</v>
          </cell>
          <cell r="O357">
            <v>-91916.684043498521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</row>
        <row r="358">
          <cell r="A358" t="str">
            <v>901CA</v>
          </cell>
          <cell r="B358">
            <v>901</v>
          </cell>
          <cell r="C358" t="str">
            <v>CA</v>
          </cell>
          <cell r="D358">
            <v>0</v>
          </cell>
          <cell r="F358" t="str">
            <v>901CA</v>
          </cell>
          <cell r="G358">
            <v>901</v>
          </cell>
          <cell r="H358" t="str">
            <v>CA</v>
          </cell>
          <cell r="I358">
            <v>0</v>
          </cell>
          <cell r="L358" t="str">
            <v>501JBE</v>
          </cell>
          <cell r="M358">
            <v>0</v>
          </cell>
          <cell r="N358">
            <v>0</v>
          </cell>
          <cell r="O358">
            <v>3966.3225690023019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 t="str">
            <v>901CN</v>
          </cell>
          <cell r="B359">
            <v>901</v>
          </cell>
          <cell r="C359" t="str">
            <v>CN</v>
          </cell>
          <cell r="D359">
            <v>2689357.41</v>
          </cell>
          <cell r="F359" t="str">
            <v>901CN</v>
          </cell>
          <cell r="G359">
            <v>901</v>
          </cell>
          <cell r="H359" t="str">
            <v>CN</v>
          </cell>
          <cell r="I359">
            <v>2689357.41</v>
          </cell>
          <cell r="L359" t="str">
            <v>501JBG</v>
          </cell>
          <cell r="M359">
            <v>0</v>
          </cell>
          <cell r="N359">
            <v>0</v>
          </cell>
          <cell r="O359">
            <v>2549407.9127013339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 t="str">
            <v>901OR</v>
          </cell>
          <cell r="B360">
            <v>901</v>
          </cell>
          <cell r="C360" t="str">
            <v>OR</v>
          </cell>
          <cell r="D360">
            <v>0</v>
          </cell>
          <cell r="F360" t="str">
            <v>901OR</v>
          </cell>
          <cell r="G360">
            <v>901</v>
          </cell>
          <cell r="H360" t="str">
            <v>OR</v>
          </cell>
          <cell r="I360">
            <v>0</v>
          </cell>
          <cell r="L360" t="str">
            <v>501NPCCAEW</v>
          </cell>
          <cell r="M360">
            <v>0</v>
          </cell>
          <cell r="N360">
            <v>0</v>
          </cell>
          <cell r="O360">
            <v>-1215724.1705464125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 t="str">
            <v>901WA</v>
          </cell>
          <cell r="B361">
            <v>901</v>
          </cell>
          <cell r="C361" t="str">
            <v>WA</v>
          </cell>
          <cell r="D361">
            <v>0</v>
          </cell>
          <cell r="F361" t="str">
            <v>901WA</v>
          </cell>
          <cell r="G361">
            <v>901</v>
          </cell>
          <cell r="H361" t="str">
            <v>WA</v>
          </cell>
          <cell r="I361">
            <v>0</v>
          </cell>
          <cell r="L361" t="str">
            <v>501NPCS</v>
          </cell>
          <cell r="M361">
            <v>0</v>
          </cell>
          <cell r="N361">
            <v>0</v>
          </cell>
          <cell r="O361">
            <v>-4714257.427668673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 t="str">
            <v>901WYP</v>
          </cell>
          <cell r="B362">
            <v>901</v>
          </cell>
          <cell r="C362" t="str">
            <v>WYP</v>
          </cell>
          <cell r="D362">
            <v>177.74</v>
          </cell>
          <cell r="F362" t="str">
            <v>901WYP</v>
          </cell>
          <cell r="G362">
            <v>901</v>
          </cell>
          <cell r="H362" t="str">
            <v>WYP</v>
          </cell>
          <cell r="I362">
            <v>177.74</v>
          </cell>
          <cell r="L362" t="str">
            <v>502CAGW</v>
          </cell>
          <cell r="M362">
            <v>0</v>
          </cell>
          <cell r="N362">
            <v>0</v>
          </cell>
          <cell r="O362">
            <v>-67166.844788615243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A363" t="str">
            <v>902CA</v>
          </cell>
          <cell r="B363">
            <v>902</v>
          </cell>
          <cell r="C363" t="str">
            <v>CA</v>
          </cell>
          <cell r="D363">
            <v>658728.35</v>
          </cell>
          <cell r="F363" t="str">
            <v>902CA</v>
          </cell>
          <cell r="G363">
            <v>902</v>
          </cell>
          <cell r="H363" t="str">
            <v>CA</v>
          </cell>
          <cell r="I363">
            <v>658728.35</v>
          </cell>
          <cell r="L363" t="str">
            <v>503CAEE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 t="str">
            <v>902CN</v>
          </cell>
          <cell r="B364">
            <v>902</v>
          </cell>
          <cell r="C364" t="str">
            <v>CN</v>
          </cell>
          <cell r="D364">
            <v>743635.02</v>
          </cell>
          <cell r="F364" t="str">
            <v>902CN</v>
          </cell>
          <cell r="G364">
            <v>902</v>
          </cell>
          <cell r="H364" t="str">
            <v>CN</v>
          </cell>
          <cell r="I364">
            <v>743635.02</v>
          </cell>
          <cell r="L364" t="str">
            <v>503SE</v>
          </cell>
          <cell r="M364">
            <v>0</v>
          </cell>
          <cell r="N364">
            <v>0</v>
          </cell>
          <cell r="O364">
            <v>339903.47444253182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</row>
        <row r="365">
          <cell r="A365" t="str">
            <v>902ID</v>
          </cell>
          <cell r="B365">
            <v>902</v>
          </cell>
          <cell r="C365" t="str">
            <v>ID</v>
          </cell>
          <cell r="D365">
            <v>2185118.4900000002</v>
          </cell>
          <cell r="F365" t="str">
            <v>902ID</v>
          </cell>
          <cell r="G365">
            <v>902</v>
          </cell>
          <cell r="H365" t="str">
            <v>ID</v>
          </cell>
          <cell r="I365">
            <v>2185118.4900000002</v>
          </cell>
          <cell r="L365" t="str">
            <v>505CAGW</v>
          </cell>
          <cell r="M365">
            <v>0</v>
          </cell>
          <cell r="N365">
            <v>0</v>
          </cell>
          <cell r="O365">
            <v>-2878.1702973257934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 t="str">
            <v>902OR</v>
          </cell>
          <cell r="B366">
            <v>902</v>
          </cell>
          <cell r="C366" t="str">
            <v>OR</v>
          </cell>
          <cell r="D366">
            <v>7223863.6699999999</v>
          </cell>
          <cell r="F366" t="str">
            <v>902OR</v>
          </cell>
          <cell r="G366">
            <v>902</v>
          </cell>
          <cell r="H366" t="str">
            <v>OR</v>
          </cell>
          <cell r="I366">
            <v>7223863.6699999999</v>
          </cell>
          <cell r="L366" t="str">
            <v>506CAGE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A367" t="str">
            <v>902UT</v>
          </cell>
          <cell r="B367">
            <v>902</v>
          </cell>
          <cell r="C367" t="str">
            <v>UT</v>
          </cell>
          <cell r="D367">
            <v>4461575.0199999996</v>
          </cell>
          <cell r="F367" t="str">
            <v>902UT</v>
          </cell>
          <cell r="G367">
            <v>902</v>
          </cell>
          <cell r="H367" t="str">
            <v>UT</v>
          </cell>
          <cell r="I367">
            <v>4461575.0199999996</v>
          </cell>
          <cell r="L367" t="str">
            <v>506CAGW</v>
          </cell>
          <cell r="M367">
            <v>0</v>
          </cell>
          <cell r="N367">
            <v>0</v>
          </cell>
          <cell r="O367">
            <v>-129787.55415490002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 t="str">
            <v>902WA</v>
          </cell>
          <cell r="B368">
            <v>902</v>
          </cell>
          <cell r="C368" t="str">
            <v>WA</v>
          </cell>
          <cell r="D368">
            <v>642455.62</v>
          </cell>
          <cell r="F368" t="str">
            <v>902WA</v>
          </cell>
          <cell r="G368">
            <v>902</v>
          </cell>
          <cell r="H368" t="str">
            <v>WA</v>
          </cell>
          <cell r="I368">
            <v>642455.62</v>
          </cell>
          <cell r="L368" t="str">
            <v>506JBG</v>
          </cell>
          <cell r="M368">
            <v>0</v>
          </cell>
          <cell r="N368">
            <v>0</v>
          </cell>
          <cell r="O368">
            <v>26857.18983444613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A369" t="str">
            <v>902WYP</v>
          </cell>
          <cell r="B369">
            <v>902</v>
          </cell>
          <cell r="C369" t="str">
            <v>WYP</v>
          </cell>
          <cell r="D369">
            <v>1080264.31</v>
          </cell>
          <cell r="F369" t="str">
            <v>902WYP</v>
          </cell>
          <cell r="G369">
            <v>902</v>
          </cell>
          <cell r="H369" t="str">
            <v>WYP</v>
          </cell>
          <cell r="I369">
            <v>1080264.31</v>
          </cell>
          <cell r="L369" t="str">
            <v>507CAGW</v>
          </cell>
          <cell r="M369">
            <v>0</v>
          </cell>
          <cell r="N369">
            <v>0</v>
          </cell>
          <cell r="O369">
            <v>-1444.0667414613361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 t="str">
            <v>902WYU</v>
          </cell>
          <cell r="B370">
            <v>902</v>
          </cell>
          <cell r="C370" t="str">
            <v>WYU</v>
          </cell>
          <cell r="D370">
            <v>226683.01</v>
          </cell>
          <cell r="F370" t="str">
            <v>902WYU</v>
          </cell>
          <cell r="G370">
            <v>902</v>
          </cell>
          <cell r="H370" t="str">
            <v>WYU</v>
          </cell>
          <cell r="I370">
            <v>226683.01</v>
          </cell>
          <cell r="L370" t="str">
            <v>510CAGW</v>
          </cell>
          <cell r="M370">
            <v>0</v>
          </cell>
          <cell r="N370">
            <v>0</v>
          </cell>
          <cell r="O370">
            <v>-16450.299165102755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A371" t="str">
            <v>903CA</v>
          </cell>
          <cell r="B371">
            <v>903</v>
          </cell>
          <cell r="C371" t="str">
            <v>CA</v>
          </cell>
          <cell r="D371">
            <v>178584.37</v>
          </cell>
          <cell r="F371" t="str">
            <v>903CA</v>
          </cell>
          <cell r="G371">
            <v>903</v>
          </cell>
          <cell r="H371" t="str">
            <v>CA</v>
          </cell>
          <cell r="I371">
            <v>178584.37</v>
          </cell>
          <cell r="L371" t="str">
            <v>511CAGW</v>
          </cell>
          <cell r="M371">
            <v>0</v>
          </cell>
          <cell r="N371">
            <v>0</v>
          </cell>
          <cell r="O371">
            <v>-21803.056906190395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 t="str">
            <v>903CN</v>
          </cell>
          <cell r="B372">
            <v>903</v>
          </cell>
          <cell r="C372" t="str">
            <v>CN</v>
          </cell>
          <cell r="D372">
            <v>41740806.93</v>
          </cell>
          <cell r="F372" t="str">
            <v>903CN</v>
          </cell>
          <cell r="G372">
            <v>903</v>
          </cell>
          <cell r="H372" t="str">
            <v>CN</v>
          </cell>
          <cell r="I372">
            <v>41740806.93</v>
          </cell>
          <cell r="L372" t="str">
            <v>512CAGE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A373" t="str">
            <v>903ID</v>
          </cell>
          <cell r="B373">
            <v>903</v>
          </cell>
          <cell r="C373" t="str">
            <v>ID</v>
          </cell>
          <cell r="D373">
            <v>389626.35</v>
          </cell>
          <cell r="F373" t="str">
            <v>903ID</v>
          </cell>
          <cell r="G373">
            <v>903</v>
          </cell>
          <cell r="H373" t="str">
            <v>ID</v>
          </cell>
          <cell r="I373">
            <v>389626.35</v>
          </cell>
          <cell r="L373" t="str">
            <v>512CAGW</v>
          </cell>
          <cell r="M373">
            <v>0</v>
          </cell>
          <cell r="N373">
            <v>0</v>
          </cell>
          <cell r="O373">
            <v>-165160.9531400484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A374" t="str">
            <v>903OR</v>
          </cell>
          <cell r="B374">
            <v>903</v>
          </cell>
          <cell r="C374" t="str">
            <v>OR</v>
          </cell>
          <cell r="D374">
            <v>1745123.49</v>
          </cell>
          <cell r="F374" t="str">
            <v>903OR</v>
          </cell>
          <cell r="G374">
            <v>903</v>
          </cell>
          <cell r="H374" t="str">
            <v>OR</v>
          </cell>
          <cell r="I374">
            <v>1745123.49</v>
          </cell>
          <cell r="L374" t="str">
            <v>512JBG</v>
          </cell>
          <cell r="M374">
            <v>0</v>
          </cell>
          <cell r="N374">
            <v>0</v>
          </cell>
          <cell r="O374">
            <v>247687.95254289889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A375" t="str">
            <v>903UT</v>
          </cell>
          <cell r="B375">
            <v>903</v>
          </cell>
          <cell r="C375" t="str">
            <v>UT</v>
          </cell>
          <cell r="D375">
            <v>3209816.03</v>
          </cell>
          <cell r="F375" t="str">
            <v>903UT</v>
          </cell>
          <cell r="G375">
            <v>903</v>
          </cell>
          <cell r="H375" t="str">
            <v>UT</v>
          </cell>
          <cell r="I375">
            <v>3209816.03</v>
          </cell>
          <cell r="L375" t="str">
            <v>512SG</v>
          </cell>
          <cell r="M375">
            <v>0</v>
          </cell>
          <cell r="N375">
            <v>0</v>
          </cell>
          <cell r="O375">
            <v>263779.47855041223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A376" t="str">
            <v>903WA</v>
          </cell>
          <cell r="B376">
            <v>903</v>
          </cell>
          <cell r="C376" t="str">
            <v>WA</v>
          </cell>
          <cell r="D376">
            <v>529917.64</v>
          </cell>
          <cell r="F376" t="str">
            <v>903WA</v>
          </cell>
          <cell r="G376">
            <v>903</v>
          </cell>
          <cell r="H376" t="str">
            <v>WA</v>
          </cell>
          <cell r="I376">
            <v>529917.64</v>
          </cell>
          <cell r="L376" t="str">
            <v>513CAGW</v>
          </cell>
          <cell r="M376">
            <v>0</v>
          </cell>
          <cell r="N376">
            <v>0</v>
          </cell>
          <cell r="O376">
            <v>-3403.1435557821887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A377" t="str">
            <v>903WYP</v>
          </cell>
          <cell r="B377">
            <v>903</v>
          </cell>
          <cell r="C377" t="str">
            <v>WYP</v>
          </cell>
          <cell r="D377">
            <v>482276.45</v>
          </cell>
          <cell r="F377" t="str">
            <v>903WYP</v>
          </cell>
          <cell r="G377">
            <v>903</v>
          </cell>
          <cell r="H377" t="str">
            <v>WYP</v>
          </cell>
          <cell r="I377">
            <v>482276.45</v>
          </cell>
          <cell r="L377" t="str">
            <v>514CAGW</v>
          </cell>
          <cell r="M377">
            <v>0</v>
          </cell>
          <cell r="N377">
            <v>0</v>
          </cell>
          <cell r="O377">
            <v>-26856.187742552775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A378" t="str">
            <v>903WYU</v>
          </cell>
          <cell r="B378">
            <v>903</v>
          </cell>
          <cell r="C378" t="str">
            <v>WYU</v>
          </cell>
          <cell r="D378">
            <v>85971.22</v>
          </cell>
          <cell r="F378" t="str">
            <v>903WYU</v>
          </cell>
          <cell r="G378">
            <v>903</v>
          </cell>
          <cell r="H378" t="str">
            <v>WYU</v>
          </cell>
          <cell r="I378">
            <v>85971.22</v>
          </cell>
          <cell r="L378" t="str">
            <v>535CAGE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 t="str">
            <v>904CA</v>
          </cell>
          <cell r="B379">
            <v>904</v>
          </cell>
          <cell r="C379" t="str">
            <v>CA</v>
          </cell>
          <cell r="D379">
            <v>732167.9</v>
          </cell>
          <cell r="F379" t="str">
            <v>904CA</v>
          </cell>
          <cell r="G379">
            <v>904</v>
          </cell>
          <cell r="H379" t="str">
            <v>CA</v>
          </cell>
          <cell r="I379">
            <v>732167.9</v>
          </cell>
          <cell r="L379" t="str">
            <v>535CAGW</v>
          </cell>
          <cell r="M379">
            <v>0</v>
          </cell>
          <cell r="N379">
            <v>0</v>
          </cell>
          <cell r="O379">
            <v>130055.40550788669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A380" t="str">
            <v>904CN</v>
          </cell>
          <cell r="B380">
            <v>904</v>
          </cell>
          <cell r="C380" t="str">
            <v>CN</v>
          </cell>
          <cell r="D380">
            <v>64325.1</v>
          </cell>
          <cell r="F380" t="str">
            <v>904CN</v>
          </cell>
          <cell r="G380">
            <v>904</v>
          </cell>
          <cell r="H380" t="str">
            <v>CN</v>
          </cell>
          <cell r="I380">
            <v>64325.1</v>
          </cell>
          <cell r="L380" t="str">
            <v>535SG</v>
          </cell>
          <cell r="M380">
            <v>0</v>
          </cell>
          <cell r="N380">
            <v>0</v>
          </cell>
          <cell r="O380">
            <v>16651.631132495226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 t="str">
            <v>904ID</v>
          </cell>
          <cell r="B381">
            <v>904</v>
          </cell>
          <cell r="C381" t="str">
            <v>ID</v>
          </cell>
          <cell r="D381">
            <v>717753.19</v>
          </cell>
          <cell r="F381" t="str">
            <v>904ID</v>
          </cell>
          <cell r="G381">
            <v>904</v>
          </cell>
          <cell r="H381" t="str">
            <v>ID</v>
          </cell>
          <cell r="I381">
            <v>717753.19</v>
          </cell>
          <cell r="L381" t="str">
            <v>545CAGE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 t="str">
            <v>904OR</v>
          </cell>
          <cell r="B382">
            <v>904</v>
          </cell>
          <cell r="C382" t="str">
            <v>OR</v>
          </cell>
          <cell r="D382">
            <v>4630969.13</v>
          </cell>
          <cell r="F382" t="str">
            <v>904OR</v>
          </cell>
          <cell r="G382">
            <v>904</v>
          </cell>
          <cell r="H382" t="str">
            <v>OR</v>
          </cell>
          <cell r="I382">
            <v>4630969.13</v>
          </cell>
          <cell r="L382" t="str">
            <v>545CAGW</v>
          </cell>
          <cell r="M382">
            <v>0</v>
          </cell>
          <cell r="N382">
            <v>0</v>
          </cell>
          <cell r="O382">
            <v>-6971727.5657977248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A383" t="str">
            <v>904UT</v>
          </cell>
          <cell r="B383">
            <v>904</v>
          </cell>
          <cell r="C383" t="str">
            <v>UT</v>
          </cell>
          <cell r="D383">
            <v>4528924.79</v>
          </cell>
          <cell r="F383" t="str">
            <v>904UT</v>
          </cell>
          <cell r="G383">
            <v>904</v>
          </cell>
          <cell r="H383" t="str">
            <v>UT</v>
          </cell>
          <cell r="I383">
            <v>4528924.79</v>
          </cell>
          <cell r="L383" t="str">
            <v>545SG</v>
          </cell>
          <cell r="M383">
            <v>0</v>
          </cell>
          <cell r="N383">
            <v>0</v>
          </cell>
          <cell r="O383">
            <v>3390356.2888943506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 t="str">
            <v>904WA</v>
          </cell>
          <cell r="B384">
            <v>904</v>
          </cell>
          <cell r="C384" t="str">
            <v>WA</v>
          </cell>
          <cell r="D384">
            <v>1670264.6</v>
          </cell>
          <cell r="F384" t="str">
            <v>904WA</v>
          </cell>
          <cell r="G384">
            <v>904</v>
          </cell>
          <cell r="H384" t="str">
            <v>WA</v>
          </cell>
          <cell r="I384">
            <v>1670264.6</v>
          </cell>
          <cell r="L384" t="str">
            <v>547NPCCAEW</v>
          </cell>
          <cell r="M384">
            <v>0</v>
          </cell>
          <cell r="N384">
            <v>0</v>
          </cell>
          <cell r="O384">
            <v>-300554.78959586471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 t="str">
            <v>904WYP</v>
          </cell>
          <cell r="B385">
            <v>904</v>
          </cell>
          <cell r="C385" t="str">
            <v>WYP</v>
          </cell>
          <cell r="D385">
            <v>992990.37</v>
          </cell>
          <cell r="F385" t="str">
            <v>904WYP</v>
          </cell>
          <cell r="G385">
            <v>904</v>
          </cell>
          <cell r="H385" t="str">
            <v>WYP</v>
          </cell>
          <cell r="I385">
            <v>992990.37</v>
          </cell>
          <cell r="L385" t="str">
            <v>547NPCS</v>
          </cell>
          <cell r="M385">
            <v>0</v>
          </cell>
          <cell r="N385">
            <v>0</v>
          </cell>
          <cell r="O385">
            <v>4149428.5777009227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A386" t="str">
            <v>904WYU</v>
          </cell>
          <cell r="B386">
            <v>904</v>
          </cell>
          <cell r="C386" t="str">
            <v>WYU</v>
          </cell>
          <cell r="D386">
            <v>0</v>
          </cell>
          <cell r="F386" t="str">
            <v>904WYU</v>
          </cell>
          <cell r="G386">
            <v>904</v>
          </cell>
          <cell r="H386" t="str">
            <v>WYU</v>
          </cell>
          <cell r="I386">
            <v>0</v>
          </cell>
          <cell r="L386" t="str">
            <v>548CAGE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 t="str">
            <v>905CA</v>
          </cell>
          <cell r="B387">
            <v>905</v>
          </cell>
          <cell r="C387" t="str">
            <v>CA</v>
          </cell>
          <cell r="D387">
            <v>0</v>
          </cell>
          <cell r="F387" t="str">
            <v>905CA</v>
          </cell>
          <cell r="G387">
            <v>905</v>
          </cell>
          <cell r="H387" t="str">
            <v>CA</v>
          </cell>
          <cell r="I387">
            <v>0</v>
          </cell>
          <cell r="L387" t="str">
            <v>548CAGW</v>
          </cell>
          <cell r="M387">
            <v>0</v>
          </cell>
          <cell r="N387">
            <v>0</v>
          </cell>
          <cell r="O387">
            <v>26354.549140362727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</row>
        <row r="388">
          <cell r="A388" t="str">
            <v>905CN</v>
          </cell>
          <cell r="B388">
            <v>905</v>
          </cell>
          <cell r="C388" t="str">
            <v>CN</v>
          </cell>
          <cell r="D388">
            <v>22019.33</v>
          </cell>
          <cell r="F388" t="str">
            <v>905CN</v>
          </cell>
          <cell r="G388">
            <v>905</v>
          </cell>
          <cell r="H388" t="str">
            <v>CN</v>
          </cell>
          <cell r="I388">
            <v>22019.33</v>
          </cell>
          <cell r="L388" t="str">
            <v>548SG</v>
          </cell>
          <cell r="M388">
            <v>0</v>
          </cell>
          <cell r="N388">
            <v>0</v>
          </cell>
          <cell r="O388">
            <v>6923.0061980065711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 t="str">
            <v>905UT</v>
          </cell>
          <cell r="B389">
            <v>905</v>
          </cell>
          <cell r="C389" t="str">
            <v>UT</v>
          </cell>
          <cell r="D389">
            <v>416829.64</v>
          </cell>
          <cell r="F389" t="str">
            <v>905UT</v>
          </cell>
          <cell r="G389">
            <v>905</v>
          </cell>
          <cell r="H389" t="str">
            <v>UT</v>
          </cell>
          <cell r="I389">
            <v>416829.64</v>
          </cell>
          <cell r="L389" t="str">
            <v>549CAGE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 t="str">
            <v>907CN</v>
          </cell>
          <cell r="B390">
            <v>907</v>
          </cell>
          <cell r="C390" t="str">
            <v>CN</v>
          </cell>
          <cell r="D390">
            <v>164.82</v>
          </cell>
          <cell r="F390" t="str">
            <v>907CN</v>
          </cell>
          <cell r="G390">
            <v>907</v>
          </cell>
          <cell r="H390" t="str">
            <v>CN</v>
          </cell>
          <cell r="I390">
            <v>164.82</v>
          </cell>
          <cell r="L390" t="str">
            <v>549CAGW</v>
          </cell>
          <cell r="M390">
            <v>0</v>
          </cell>
          <cell r="N390">
            <v>0</v>
          </cell>
          <cell r="O390">
            <v>-1284981.6408962309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A391" t="str">
            <v>908CA</v>
          </cell>
          <cell r="B391">
            <v>908</v>
          </cell>
          <cell r="C391" t="str">
            <v>CA</v>
          </cell>
          <cell r="D391">
            <v>107310.33</v>
          </cell>
          <cell r="F391" t="str">
            <v>908CA</v>
          </cell>
          <cell r="G391">
            <v>908</v>
          </cell>
          <cell r="H391" t="str">
            <v>CA</v>
          </cell>
          <cell r="I391">
            <v>107310.33</v>
          </cell>
          <cell r="L391" t="str">
            <v>549S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 t="str">
            <v>908CN</v>
          </cell>
          <cell r="B392">
            <v>908</v>
          </cell>
          <cell r="C392" t="str">
            <v>CN</v>
          </cell>
          <cell r="D392">
            <v>2701623.65</v>
          </cell>
          <cell r="F392" t="str">
            <v>908CN</v>
          </cell>
          <cell r="G392">
            <v>908</v>
          </cell>
          <cell r="H392" t="str">
            <v>CN</v>
          </cell>
          <cell r="I392">
            <v>2701623.65</v>
          </cell>
          <cell r="L392" t="str">
            <v>549SG</v>
          </cell>
          <cell r="M392">
            <v>0</v>
          </cell>
          <cell r="N392">
            <v>0</v>
          </cell>
          <cell r="O392">
            <v>2816824.0549440142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A393" t="str">
            <v>908ID</v>
          </cell>
          <cell r="B393">
            <v>908</v>
          </cell>
          <cell r="C393" t="str">
            <v>ID</v>
          </cell>
          <cell r="D393">
            <v>16884.93</v>
          </cell>
          <cell r="F393" t="str">
            <v>908ID</v>
          </cell>
          <cell r="G393">
            <v>908</v>
          </cell>
          <cell r="H393" t="str">
            <v>ID</v>
          </cell>
          <cell r="I393">
            <v>16884.93</v>
          </cell>
          <cell r="L393" t="str">
            <v>553CAGE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 t="str">
            <v>908OR</v>
          </cell>
          <cell r="B394">
            <v>908</v>
          </cell>
          <cell r="C394" t="str">
            <v>OR</v>
          </cell>
          <cell r="D394">
            <v>2096459.35</v>
          </cell>
          <cell r="F394" t="str">
            <v>908OR</v>
          </cell>
          <cell r="G394">
            <v>908</v>
          </cell>
          <cell r="H394" t="str">
            <v>OR</v>
          </cell>
          <cell r="I394">
            <v>2096459.35</v>
          </cell>
          <cell r="L394" t="str">
            <v>553CAGW</v>
          </cell>
          <cell r="M394">
            <v>0</v>
          </cell>
          <cell r="N394">
            <v>0</v>
          </cell>
          <cell r="O394">
            <v>48725.943648139553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 t="str">
            <v>908OTHER</v>
          </cell>
          <cell r="B395">
            <v>908</v>
          </cell>
          <cell r="C395" t="str">
            <v>OTHER</v>
          </cell>
          <cell r="D395">
            <v>83357915.310000002</v>
          </cell>
          <cell r="F395" t="str">
            <v>908OTHER</v>
          </cell>
          <cell r="G395">
            <v>908</v>
          </cell>
          <cell r="H395" t="str">
            <v>OTHER</v>
          </cell>
          <cell r="I395">
            <v>83357915.310000002</v>
          </cell>
          <cell r="L395" t="str">
            <v>555NPCCAEW</v>
          </cell>
          <cell r="M395">
            <v>0</v>
          </cell>
          <cell r="N395">
            <v>0</v>
          </cell>
          <cell r="O395">
            <v>-5200.8958587409288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 t="str">
            <v>908UT</v>
          </cell>
          <cell r="B396">
            <v>908</v>
          </cell>
          <cell r="C396" t="str">
            <v>UT</v>
          </cell>
          <cell r="D396">
            <v>2583792.0099999998</v>
          </cell>
          <cell r="F396" t="str">
            <v>908UT</v>
          </cell>
          <cell r="G396">
            <v>908</v>
          </cell>
          <cell r="H396" t="str">
            <v>UT</v>
          </cell>
          <cell r="I396">
            <v>2583792.0099999998</v>
          </cell>
          <cell r="L396" t="str">
            <v>555NPCCAGW</v>
          </cell>
          <cell r="M396">
            <v>0</v>
          </cell>
          <cell r="N396">
            <v>0</v>
          </cell>
          <cell r="O396">
            <v>-6461788.1335230349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 t="str">
            <v>908WA</v>
          </cell>
          <cell r="B397">
            <v>908</v>
          </cell>
          <cell r="C397" t="str">
            <v>WA</v>
          </cell>
          <cell r="D397">
            <v>355542.02</v>
          </cell>
          <cell r="F397" t="str">
            <v>908WA</v>
          </cell>
          <cell r="G397">
            <v>908</v>
          </cell>
          <cell r="H397" t="str">
            <v>WA</v>
          </cell>
          <cell r="I397">
            <v>355542.02</v>
          </cell>
          <cell r="L397" t="str">
            <v>555NPCS</v>
          </cell>
          <cell r="M397">
            <v>0</v>
          </cell>
          <cell r="N397">
            <v>0</v>
          </cell>
          <cell r="O397">
            <v>-11716673.414558964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 t="str">
            <v>908WYP</v>
          </cell>
          <cell r="B398">
            <v>908</v>
          </cell>
          <cell r="C398" t="str">
            <v>WYP</v>
          </cell>
          <cell r="D398">
            <v>969503.78</v>
          </cell>
          <cell r="F398" t="str">
            <v>908WYP</v>
          </cell>
          <cell r="G398">
            <v>908</v>
          </cell>
          <cell r="H398" t="str">
            <v>WYP</v>
          </cell>
          <cell r="I398">
            <v>969503.78</v>
          </cell>
          <cell r="L398" t="str">
            <v>555S</v>
          </cell>
          <cell r="M398">
            <v>0</v>
          </cell>
          <cell r="N398">
            <v>0</v>
          </cell>
          <cell r="O398">
            <v>260000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A399" t="str">
            <v>909CA</v>
          </cell>
          <cell r="B399">
            <v>909</v>
          </cell>
          <cell r="C399" t="str">
            <v>CA</v>
          </cell>
          <cell r="D399">
            <v>147369.39000000001</v>
          </cell>
          <cell r="F399" t="str">
            <v>909CA</v>
          </cell>
          <cell r="G399">
            <v>909</v>
          </cell>
          <cell r="H399" t="str">
            <v>CA</v>
          </cell>
          <cell r="I399">
            <v>147369.39000000001</v>
          </cell>
          <cell r="L399" t="str">
            <v>557CAEE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 t="str">
            <v>909CN</v>
          </cell>
          <cell r="B400">
            <v>909</v>
          </cell>
          <cell r="C400" t="str">
            <v>CN</v>
          </cell>
          <cell r="D400">
            <v>2687097.26</v>
          </cell>
          <cell r="F400" t="str">
            <v>909CN</v>
          </cell>
          <cell r="G400">
            <v>909</v>
          </cell>
          <cell r="H400" t="str">
            <v>CN</v>
          </cell>
          <cell r="I400">
            <v>2687097.26</v>
          </cell>
          <cell r="L400" t="str">
            <v>557CAGE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A401" t="str">
            <v>909ID</v>
          </cell>
          <cell r="B401">
            <v>909</v>
          </cell>
          <cell r="C401" t="str">
            <v>ID</v>
          </cell>
          <cell r="D401">
            <v>160778.17000000001</v>
          </cell>
          <cell r="F401" t="str">
            <v>909ID</v>
          </cell>
          <cell r="G401">
            <v>909</v>
          </cell>
          <cell r="H401" t="str">
            <v>ID</v>
          </cell>
          <cell r="I401">
            <v>160778.17000000001</v>
          </cell>
          <cell r="L401" t="str">
            <v>557CAGW</v>
          </cell>
          <cell r="M401">
            <v>0</v>
          </cell>
          <cell r="N401">
            <v>0</v>
          </cell>
          <cell r="O401">
            <v>173786.64182651124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 t="str">
            <v>909OR</v>
          </cell>
          <cell r="B402">
            <v>909</v>
          </cell>
          <cell r="C402" t="str">
            <v>OR</v>
          </cell>
          <cell r="D402">
            <v>1894444.61</v>
          </cell>
          <cell r="F402" t="str">
            <v>909OR</v>
          </cell>
          <cell r="G402">
            <v>909</v>
          </cell>
          <cell r="H402" t="str">
            <v>OR</v>
          </cell>
          <cell r="I402">
            <v>1894444.61</v>
          </cell>
          <cell r="L402" t="str">
            <v>557S</v>
          </cell>
          <cell r="M402">
            <v>0</v>
          </cell>
          <cell r="N402">
            <v>0</v>
          </cell>
          <cell r="O402">
            <v>6754.3600000000006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A403" t="str">
            <v>909UT</v>
          </cell>
          <cell r="B403">
            <v>909</v>
          </cell>
          <cell r="C403" t="str">
            <v>UT</v>
          </cell>
          <cell r="D403">
            <v>1552525.01</v>
          </cell>
          <cell r="F403" t="str">
            <v>909UT</v>
          </cell>
          <cell r="G403">
            <v>909</v>
          </cell>
          <cell r="H403" t="str">
            <v>UT</v>
          </cell>
          <cell r="I403">
            <v>1552525.01</v>
          </cell>
          <cell r="L403" t="str">
            <v>557SG</v>
          </cell>
          <cell r="M403">
            <v>0</v>
          </cell>
          <cell r="N403">
            <v>0</v>
          </cell>
          <cell r="O403">
            <v>81399.18240546083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 t="str">
            <v>909WA</v>
          </cell>
          <cell r="B404">
            <v>909</v>
          </cell>
          <cell r="C404" t="str">
            <v>WA</v>
          </cell>
          <cell r="D404">
            <v>272993</v>
          </cell>
          <cell r="F404" t="str">
            <v>909WA</v>
          </cell>
          <cell r="G404">
            <v>909</v>
          </cell>
          <cell r="H404" t="str">
            <v>WA</v>
          </cell>
          <cell r="I404">
            <v>272993</v>
          </cell>
          <cell r="L404" t="str">
            <v>557SO</v>
          </cell>
          <cell r="M404">
            <v>0</v>
          </cell>
          <cell r="N404">
            <v>0</v>
          </cell>
          <cell r="O404">
            <v>5289.7725308105873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A405" t="str">
            <v>909WYP</v>
          </cell>
          <cell r="B405">
            <v>909</v>
          </cell>
          <cell r="C405" t="str">
            <v>WYP</v>
          </cell>
          <cell r="D405">
            <v>368683.48</v>
          </cell>
          <cell r="F405" t="str">
            <v>909WYP</v>
          </cell>
          <cell r="G405">
            <v>909</v>
          </cell>
          <cell r="H405" t="str">
            <v>WYP</v>
          </cell>
          <cell r="I405">
            <v>368683.48</v>
          </cell>
          <cell r="L405" t="str">
            <v>560CAGE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 t="str">
            <v>909WYU</v>
          </cell>
          <cell r="B406">
            <v>909</v>
          </cell>
          <cell r="C406" t="str">
            <v>WYU</v>
          </cell>
          <cell r="D406">
            <v>3320.05</v>
          </cell>
          <cell r="F406" t="str">
            <v>909WYU</v>
          </cell>
          <cell r="G406">
            <v>909</v>
          </cell>
          <cell r="H406" t="str">
            <v>WYU</v>
          </cell>
          <cell r="I406">
            <v>3320.05</v>
          </cell>
          <cell r="L406" t="str">
            <v>560CAGW</v>
          </cell>
          <cell r="M406">
            <v>0</v>
          </cell>
          <cell r="N406">
            <v>0</v>
          </cell>
          <cell r="O406">
            <v>-534159.34393530991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 t="str">
            <v>910CN</v>
          </cell>
          <cell r="B407">
            <v>910</v>
          </cell>
          <cell r="C407" t="str">
            <v>CN</v>
          </cell>
          <cell r="D407">
            <v>16170.61</v>
          </cell>
          <cell r="F407" t="str">
            <v>910CN</v>
          </cell>
          <cell r="G407">
            <v>910</v>
          </cell>
          <cell r="H407" t="str">
            <v>CN</v>
          </cell>
          <cell r="I407">
            <v>16170.61</v>
          </cell>
          <cell r="L407" t="str">
            <v>560JBG</v>
          </cell>
          <cell r="M407">
            <v>0</v>
          </cell>
          <cell r="N407">
            <v>0</v>
          </cell>
          <cell r="O407">
            <v>-14992.014133516086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 t="str">
            <v>920OR</v>
          </cell>
          <cell r="B408">
            <v>920</v>
          </cell>
          <cell r="C408" t="str">
            <v>OR</v>
          </cell>
          <cell r="D408">
            <v>-38.89</v>
          </cell>
          <cell r="F408" t="str">
            <v>920OR</v>
          </cell>
          <cell r="G408">
            <v>920</v>
          </cell>
          <cell r="H408" t="str">
            <v>OR</v>
          </cell>
          <cell r="I408">
            <v>-38.89</v>
          </cell>
          <cell r="L408" t="str">
            <v>560SG</v>
          </cell>
          <cell r="M408">
            <v>0</v>
          </cell>
          <cell r="N408">
            <v>0</v>
          </cell>
          <cell r="O408">
            <v>829910.44490823301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 t="str">
            <v>920SO</v>
          </cell>
          <cell r="B409">
            <v>920</v>
          </cell>
          <cell r="C409" t="str">
            <v>SO</v>
          </cell>
          <cell r="D409">
            <v>73780563.790000007</v>
          </cell>
          <cell r="F409" t="str">
            <v>920SO</v>
          </cell>
          <cell r="G409">
            <v>920</v>
          </cell>
          <cell r="H409" t="str">
            <v>SO</v>
          </cell>
          <cell r="I409">
            <v>73780563.790000007</v>
          </cell>
          <cell r="L409" t="str">
            <v>565NPCCAEW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 t="str">
            <v>920WA</v>
          </cell>
          <cell r="B410">
            <v>920</v>
          </cell>
          <cell r="C410" t="str">
            <v>WA</v>
          </cell>
          <cell r="D410">
            <v>1.17</v>
          </cell>
          <cell r="F410" t="str">
            <v>920WA</v>
          </cell>
          <cell r="G410">
            <v>920</v>
          </cell>
          <cell r="H410" t="str">
            <v>WA</v>
          </cell>
          <cell r="I410">
            <v>1.17</v>
          </cell>
          <cell r="L410" t="str">
            <v>565NPCCAGW</v>
          </cell>
          <cell r="M410">
            <v>0</v>
          </cell>
          <cell r="N410">
            <v>0</v>
          </cell>
          <cell r="O410">
            <v>-588245.29424889339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 t="str">
            <v>921CA</v>
          </cell>
          <cell r="B411">
            <v>921</v>
          </cell>
          <cell r="C411" t="str">
            <v>CA</v>
          </cell>
          <cell r="D411">
            <v>4832.33</v>
          </cell>
          <cell r="F411" t="str">
            <v>921CA</v>
          </cell>
          <cell r="G411">
            <v>921</v>
          </cell>
          <cell r="H411" t="str">
            <v>CA</v>
          </cell>
          <cell r="I411">
            <v>4832.33</v>
          </cell>
          <cell r="L411" t="str">
            <v>565NPCS</v>
          </cell>
          <cell r="M411">
            <v>0</v>
          </cell>
          <cell r="N411">
            <v>0</v>
          </cell>
          <cell r="O411">
            <v>-15666520.784212762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 t="str">
            <v>921CN</v>
          </cell>
          <cell r="B412">
            <v>921</v>
          </cell>
          <cell r="C412" t="str">
            <v>CN</v>
          </cell>
          <cell r="D412">
            <v>89292.85</v>
          </cell>
          <cell r="F412" t="str">
            <v>921CN</v>
          </cell>
          <cell r="G412">
            <v>921</v>
          </cell>
          <cell r="H412" t="str">
            <v>CN</v>
          </cell>
          <cell r="I412">
            <v>89292.85</v>
          </cell>
          <cell r="L412" t="str">
            <v>571CAGE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 t="str">
            <v>921ID</v>
          </cell>
          <cell r="B413">
            <v>921</v>
          </cell>
          <cell r="C413" t="str">
            <v>ID</v>
          </cell>
          <cell r="D413">
            <v>26365.01</v>
          </cell>
          <cell r="F413" t="str">
            <v>921ID</v>
          </cell>
          <cell r="G413">
            <v>921</v>
          </cell>
          <cell r="H413" t="str">
            <v>ID</v>
          </cell>
          <cell r="I413">
            <v>26365.01</v>
          </cell>
          <cell r="L413" t="str">
            <v>571CAGW</v>
          </cell>
          <cell r="M413">
            <v>0</v>
          </cell>
          <cell r="N413">
            <v>0</v>
          </cell>
          <cell r="O413">
            <v>-2374755.0009679482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 t="str">
            <v>921OR</v>
          </cell>
          <cell r="B414">
            <v>921</v>
          </cell>
          <cell r="C414" t="str">
            <v>OR</v>
          </cell>
          <cell r="D414">
            <v>56777.62</v>
          </cell>
          <cell r="F414" t="str">
            <v>921OR</v>
          </cell>
          <cell r="G414">
            <v>921</v>
          </cell>
          <cell r="H414" t="str">
            <v>OR</v>
          </cell>
          <cell r="I414">
            <v>56777.62</v>
          </cell>
          <cell r="L414" t="str">
            <v>571JBG</v>
          </cell>
          <cell r="M414">
            <v>0</v>
          </cell>
          <cell r="N414">
            <v>0</v>
          </cell>
          <cell r="O414">
            <v>-63118.323311369451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 t="str">
            <v>921SO</v>
          </cell>
          <cell r="B415">
            <v>921</v>
          </cell>
          <cell r="C415" t="str">
            <v>SO</v>
          </cell>
          <cell r="D415">
            <v>9148245.3000000007</v>
          </cell>
          <cell r="F415" t="str">
            <v>921SO</v>
          </cell>
          <cell r="G415">
            <v>921</v>
          </cell>
          <cell r="H415" t="str">
            <v>SO</v>
          </cell>
          <cell r="I415">
            <v>9148245.3000000007</v>
          </cell>
          <cell r="L415" t="str">
            <v>571SG</v>
          </cell>
          <cell r="M415">
            <v>0</v>
          </cell>
          <cell r="N415">
            <v>0</v>
          </cell>
          <cell r="O415">
            <v>2226168.5762779727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 t="str">
            <v>921UT</v>
          </cell>
          <cell r="B416">
            <v>921</v>
          </cell>
          <cell r="C416" t="str">
            <v>UT</v>
          </cell>
          <cell r="D416">
            <v>128100.35</v>
          </cell>
          <cell r="F416" t="str">
            <v>921UT</v>
          </cell>
          <cell r="G416">
            <v>921</v>
          </cell>
          <cell r="H416" t="str">
            <v>UT</v>
          </cell>
          <cell r="I416">
            <v>128100.35</v>
          </cell>
          <cell r="L416" t="str">
            <v>580S</v>
          </cell>
          <cell r="M416">
            <v>0</v>
          </cell>
          <cell r="N416">
            <v>0</v>
          </cell>
          <cell r="O416">
            <v>90584.510592222869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 t="str">
            <v>921WA</v>
          </cell>
          <cell r="B417">
            <v>921</v>
          </cell>
          <cell r="C417" t="str">
            <v>WA</v>
          </cell>
          <cell r="D417">
            <v>10038.209999999999</v>
          </cell>
          <cell r="F417" t="str">
            <v>921WA</v>
          </cell>
          <cell r="G417">
            <v>921</v>
          </cell>
          <cell r="H417" t="str">
            <v>WA</v>
          </cell>
          <cell r="I417">
            <v>10038.209999999999</v>
          </cell>
          <cell r="L417" t="str">
            <v>580SNPD</v>
          </cell>
          <cell r="M417">
            <v>0</v>
          </cell>
          <cell r="N417">
            <v>0</v>
          </cell>
          <cell r="O417">
            <v>79342.711925528158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 t="str">
            <v>921WYP</v>
          </cell>
          <cell r="B418">
            <v>921</v>
          </cell>
          <cell r="C418" t="str">
            <v>WYP</v>
          </cell>
          <cell r="D418">
            <v>36406.550000000003</v>
          </cell>
          <cell r="F418" t="str">
            <v>921WYP</v>
          </cell>
          <cell r="G418">
            <v>921</v>
          </cell>
          <cell r="H418" t="str">
            <v>WYP</v>
          </cell>
          <cell r="I418">
            <v>36406.550000000003</v>
          </cell>
          <cell r="L418" t="str">
            <v>588S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 t="str">
            <v>921WYU</v>
          </cell>
          <cell r="B419">
            <v>921</v>
          </cell>
          <cell r="C419" t="str">
            <v>WYU</v>
          </cell>
          <cell r="D419">
            <v>8335.48</v>
          </cell>
          <cell r="F419" t="str">
            <v>921WYU</v>
          </cell>
          <cell r="G419">
            <v>921</v>
          </cell>
          <cell r="H419" t="str">
            <v>WYU</v>
          </cell>
          <cell r="I419">
            <v>8335.48</v>
          </cell>
          <cell r="L419" t="str">
            <v>588SNPD</v>
          </cell>
          <cell r="M419">
            <v>0</v>
          </cell>
          <cell r="N419">
            <v>0</v>
          </cell>
          <cell r="O419">
            <v>-245.32449298058287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A420" t="str">
            <v>922SO</v>
          </cell>
          <cell r="B420">
            <v>922</v>
          </cell>
          <cell r="C420" t="str">
            <v>SO</v>
          </cell>
          <cell r="D420">
            <v>-33020274.239999998</v>
          </cell>
          <cell r="F420" t="str">
            <v>922SO</v>
          </cell>
          <cell r="G420">
            <v>922</v>
          </cell>
          <cell r="H420" t="str">
            <v>SO</v>
          </cell>
          <cell r="I420">
            <v>-33020274.239999998</v>
          </cell>
          <cell r="L420" t="str">
            <v>593S</v>
          </cell>
          <cell r="M420">
            <v>0</v>
          </cell>
          <cell r="N420">
            <v>0</v>
          </cell>
          <cell r="O420">
            <v>417916.67725826654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 t="str">
            <v>923CA</v>
          </cell>
          <cell r="B421">
            <v>923</v>
          </cell>
          <cell r="C421" t="str">
            <v>CA</v>
          </cell>
          <cell r="D421">
            <v>128921.79</v>
          </cell>
          <cell r="F421" t="str">
            <v>923CA</v>
          </cell>
          <cell r="G421">
            <v>923</v>
          </cell>
          <cell r="H421" t="str">
            <v>CA</v>
          </cell>
          <cell r="I421">
            <v>128921.79</v>
          </cell>
          <cell r="L421" t="str">
            <v>593SNPD</v>
          </cell>
          <cell r="M421">
            <v>0</v>
          </cell>
          <cell r="N421">
            <v>0</v>
          </cell>
          <cell r="O421">
            <v>25573.42551831502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A422" t="str">
            <v>923ID</v>
          </cell>
          <cell r="B422">
            <v>923</v>
          </cell>
          <cell r="C422" t="str">
            <v>ID</v>
          </cell>
          <cell r="D422">
            <v>77.19</v>
          </cell>
          <cell r="F422" t="str">
            <v>923ID</v>
          </cell>
          <cell r="G422">
            <v>923</v>
          </cell>
          <cell r="H422" t="str">
            <v>ID</v>
          </cell>
          <cell r="I422">
            <v>77.19</v>
          </cell>
          <cell r="L422" t="str">
            <v>903CN</v>
          </cell>
          <cell r="M422">
            <v>0</v>
          </cell>
          <cell r="N422">
            <v>0</v>
          </cell>
          <cell r="O422">
            <v>115213.97715175187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 t="str">
            <v>923OR</v>
          </cell>
          <cell r="B423">
            <v>923</v>
          </cell>
          <cell r="C423" t="str">
            <v>OR</v>
          </cell>
          <cell r="D423">
            <v>123975.17</v>
          </cell>
          <cell r="F423" t="str">
            <v>923OR</v>
          </cell>
          <cell r="G423">
            <v>923</v>
          </cell>
          <cell r="H423" t="str">
            <v>OR</v>
          </cell>
          <cell r="I423">
            <v>123975.17</v>
          </cell>
          <cell r="L423" t="str">
            <v>903S</v>
          </cell>
          <cell r="M423">
            <v>0</v>
          </cell>
          <cell r="N423">
            <v>0</v>
          </cell>
          <cell r="O423">
            <v>923376.95188401593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 t="str">
            <v>923SO</v>
          </cell>
          <cell r="B424">
            <v>923</v>
          </cell>
          <cell r="C424" t="str">
            <v>SO</v>
          </cell>
          <cell r="D424">
            <v>21001084.329999998</v>
          </cell>
          <cell r="F424" t="str">
            <v>923SO</v>
          </cell>
          <cell r="G424">
            <v>923</v>
          </cell>
          <cell r="H424" t="str">
            <v>SO</v>
          </cell>
          <cell r="I424">
            <v>21001084.329999998</v>
          </cell>
          <cell r="L424" t="str">
            <v>904S</v>
          </cell>
          <cell r="M424">
            <v>0</v>
          </cell>
          <cell r="N424">
            <v>0</v>
          </cell>
          <cell r="O424">
            <v>62258.880074109882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A425" t="str">
            <v>923UT</v>
          </cell>
          <cell r="B425">
            <v>923</v>
          </cell>
          <cell r="C425" t="str">
            <v>UT</v>
          </cell>
          <cell r="D425">
            <v>1278672.1499999999</v>
          </cell>
          <cell r="F425" t="str">
            <v>923UT</v>
          </cell>
          <cell r="G425">
            <v>923</v>
          </cell>
          <cell r="H425" t="str">
            <v>UT</v>
          </cell>
          <cell r="I425">
            <v>1278672.1499999999</v>
          </cell>
          <cell r="L425" t="str">
            <v>905CAGE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 t="str">
            <v>923WA</v>
          </cell>
          <cell r="B426">
            <v>923</v>
          </cell>
          <cell r="C426" t="str">
            <v>WA</v>
          </cell>
          <cell r="D426">
            <v>9697.92</v>
          </cell>
          <cell r="F426" t="str">
            <v>923WA</v>
          </cell>
          <cell r="G426">
            <v>923</v>
          </cell>
          <cell r="H426" t="str">
            <v>WA</v>
          </cell>
          <cell r="I426">
            <v>9697.92</v>
          </cell>
          <cell r="L426" t="str">
            <v>905CAGW</v>
          </cell>
          <cell r="M426">
            <v>0</v>
          </cell>
          <cell r="N426">
            <v>0</v>
          </cell>
          <cell r="O426">
            <v>20358.871091146189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A427" t="str">
            <v>923WYP</v>
          </cell>
          <cell r="B427">
            <v>923</v>
          </cell>
          <cell r="C427" t="str">
            <v>WYP</v>
          </cell>
          <cell r="D427">
            <v>3590.62</v>
          </cell>
          <cell r="F427" t="str">
            <v>923WYP</v>
          </cell>
          <cell r="G427">
            <v>923</v>
          </cell>
          <cell r="H427" t="str">
            <v>WYP</v>
          </cell>
          <cell r="I427">
            <v>3590.62</v>
          </cell>
          <cell r="L427" t="str">
            <v>905CN</v>
          </cell>
          <cell r="M427">
            <v>0</v>
          </cell>
          <cell r="N427">
            <v>0</v>
          </cell>
          <cell r="O427">
            <v>-120.38275286138142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 t="str">
            <v>923WYU</v>
          </cell>
          <cell r="B428">
            <v>923</v>
          </cell>
          <cell r="C428" t="str">
            <v>WYU</v>
          </cell>
          <cell r="D428">
            <v>5542.1</v>
          </cell>
          <cell r="F428" t="str">
            <v>923WYU</v>
          </cell>
          <cell r="G428">
            <v>923</v>
          </cell>
          <cell r="H428" t="str">
            <v>WYU</v>
          </cell>
          <cell r="I428">
            <v>5542.1</v>
          </cell>
          <cell r="L428" t="str">
            <v>905S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</row>
        <row r="429">
          <cell r="A429" t="str">
            <v>924CA</v>
          </cell>
          <cell r="B429">
            <v>924</v>
          </cell>
          <cell r="C429" t="str">
            <v>CA</v>
          </cell>
          <cell r="D429">
            <v>1468349.9</v>
          </cell>
          <cell r="F429" t="str">
            <v>924CA</v>
          </cell>
          <cell r="G429">
            <v>924</v>
          </cell>
          <cell r="H429" t="str">
            <v>CA</v>
          </cell>
          <cell r="I429">
            <v>1468349.9</v>
          </cell>
          <cell r="L429" t="str">
            <v>908CN</v>
          </cell>
          <cell r="M429">
            <v>0</v>
          </cell>
          <cell r="N429">
            <v>0</v>
          </cell>
          <cell r="O429">
            <v>12929.028927098358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 t="str">
            <v>924ID</v>
          </cell>
          <cell r="B430">
            <v>924</v>
          </cell>
          <cell r="C430" t="str">
            <v>ID</v>
          </cell>
          <cell r="D430">
            <v>113544</v>
          </cell>
          <cell r="F430" t="str">
            <v>924ID</v>
          </cell>
          <cell r="G430">
            <v>924</v>
          </cell>
          <cell r="H430" t="str">
            <v>ID</v>
          </cell>
          <cell r="I430">
            <v>113544</v>
          </cell>
          <cell r="L430" t="str">
            <v>908OTHER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 t="str">
            <v>924OR</v>
          </cell>
          <cell r="B431">
            <v>924</v>
          </cell>
          <cell r="C431" t="str">
            <v>OR</v>
          </cell>
          <cell r="D431">
            <v>6295833.4000000004</v>
          </cell>
          <cell r="F431" t="str">
            <v>924OR</v>
          </cell>
          <cell r="G431">
            <v>924</v>
          </cell>
          <cell r="H431" t="str">
            <v>OR</v>
          </cell>
          <cell r="I431">
            <v>6295833.4000000004</v>
          </cell>
          <cell r="L431" t="str">
            <v>908S</v>
          </cell>
          <cell r="M431">
            <v>0</v>
          </cell>
          <cell r="N431">
            <v>0</v>
          </cell>
          <cell r="O431">
            <v>18334.453336781764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 t="str">
            <v>924SO</v>
          </cell>
          <cell r="B432">
            <v>924</v>
          </cell>
          <cell r="C432" t="str">
            <v>SO</v>
          </cell>
          <cell r="D432">
            <v>4722690.91</v>
          </cell>
          <cell r="F432" t="str">
            <v>924SO</v>
          </cell>
          <cell r="G432">
            <v>924</v>
          </cell>
          <cell r="H432" t="str">
            <v>SO</v>
          </cell>
          <cell r="I432">
            <v>4722690.91</v>
          </cell>
          <cell r="L432" t="str">
            <v>909CAGE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 t="str">
            <v>924UT</v>
          </cell>
          <cell r="B433">
            <v>924</v>
          </cell>
          <cell r="C433" t="str">
            <v>UT</v>
          </cell>
          <cell r="D433">
            <v>2152236</v>
          </cell>
          <cell r="F433" t="str">
            <v>924UT</v>
          </cell>
          <cell r="G433">
            <v>924</v>
          </cell>
          <cell r="H433" t="str">
            <v>UT</v>
          </cell>
          <cell r="I433">
            <v>2152236</v>
          </cell>
          <cell r="L433" t="str">
            <v>909CAGW</v>
          </cell>
          <cell r="M433">
            <v>0</v>
          </cell>
          <cell r="N433">
            <v>0</v>
          </cell>
          <cell r="O433">
            <v>6009.0863537789955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</row>
        <row r="434">
          <cell r="A434" t="str">
            <v>924WYP</v>
          </cell>
          <cell r="B434">
            <v>924</v>
          </cell>
          <cell r="C434" t="str">
            <v>WYP</v>
          </cell>
          <cell r="D434">
            <v>349809.96</v>
          </cell>
          <cell r="F434" t="str">
            <v>924WYP</v>
          </cell>
          <cell r="G434">
            <v>924</v>
          </cell>
          <cell r="H434" t="str">
            <v>WYP</v>
          </cell>
          <cell r="I434">
            <v>349809.96</v>
          </cell>
          <cell r="L434" t="str">
            <v>909CN</v>
          </cell>
          <cell r="M434">
            <v>0</v>
          </cell>
          <cell r="N434">
            <v>0</v>
          </cell>
          <cell r="O434">
            <v>-20276.190665540438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A435" t="str">
            <v>925OR</v>
          </cell>
          <cell r="B435">
            <v>925</v>
          </cell>
          <cell r="C435" t="str">
            <v>OR</v>
          </cell>
          <cell r="D435">
            <v>-21502.97</v>
          </cell>
          <cell r="F435" t="str">
            <v>925OR</v>
          </cell>
          <cell r="G435">
            <v>925</v>
          </cell>
          <cell r="H435" t="str">
            <v>OR</v>
          </cell>
          <cell r="I435">
            <v>-21502.97</v>
          </cell>
          <cell r="L435" t="str">
            <v>909S</v>
          </cell>
          <cell r="M435">
            <v>0</v>
          </cell>
          <cell r="N435">
            <v>0</v>
          </cell>
          <cell r="O435">
            <v>17265.88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 t="str">
            <v>925SO</v>
          </cell>
          <cell r="B436">
            <v>925</v>
          </cell>
          <cell r="C436" t="str">
            <v>SO</v>
          </cell>
          <cell r="D436">
            <v>17313348.120000001</v>
          </cell>
          <cell r="F436" t="str">
            <v>925SO</v>
          </cell>
          <cell r="G436">
            <v>925</v>
          </cell>
          <cell r="H436" t="str">
            <v>SO</v>
          </cell>
          <cell r="I436">
            <v>17313348.120000001</v>
          </cell>
          <cell r="L436" t="str">
            <v>910CN</v>
          </cell>
          <cell r="M436">
            <v>0</v>
          </cell>
          <cell r="N436">
            <v>0</v>
          </cell>
          <cell r="O436">
            <v>17.087637409889062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A437" t="str">
            <v>926CA</v>
          </cell>
          <cell r="B437">
            <v>926</v>
          </cell>
          <cell r="C437" t="str">
            <v>CA</v>
          </cell>
          <cell r="D437">
            <v>-36272.720000000001</v>
          </cell>
          <cell r="F437" t="str">
            <v>926CA</v>
          </cell>
          <cell r="G437">
            <v>926</v>
          </cell>
          <cell r="H437" t="str">
            <v>CA</v>
          </cell>
          <cell r="I437">
            <v>-36272.720000000001</v>
          </cell>
          <cell r="L437" t="str">
            <v>920S</v>
          </cell>
          <cell r="M437">
            <v>0</v>
          </cell>
          <cell r="N437">
            <v>0</v>
          </cell>
          <cell r="O437">
            <v>-711374.13782782655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 t="str">
            <v>926OR</v>
          </cell>
          <cell r="B438">
            <v>926</v>
          </cell>
          <cell r="C438" t="str">
            <v>OR</v>
          </cell>
          <cell r="D438">
            <v>-407235.61</v>
          </cell>
          <cell r="F438" t="str">
            <v>926OR</v>
          </cell>
          <cell r="G438">
            <v>926</v>
          </cell>
          <cell r="H438" t="str">
            <v>OR</v>
          </cell>
          <cell r="I438">
            <v>-407235.61</v>
          </cell>
          <cell r="L438" t="str">
            <v>920SO</v>
          </cell>
          <cell r="M438">
            <v>0</v>
          </cell>
          <cell r="N438">
            <v>0</v>
          </cell>
          <cell r="O438">
            <v>175618.22835443899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A439" t="str">
            <v>926SO</v>
          </cell>
          <cell r="B439">
            <v>926</v>
          </cell>
          <cell r="C439" t="str">
            <v>SO</v>
          </cell>
          <cell r="D439">
            <v>118045638.3</v>
          </cell>
          <cell r="F439" t="str">
            <v>926SO</v>
          </cell>
          <cell r="G439">
            <v>926</v>
          </cell>
          <cell r="H439" t="str">
            <v>SO</v>
          </cell>
          <cell r="I439">
            <v>118045638.3</v>
          </cell>
          <cell r="L439" t="str">
            <v>921SO</v>
          </cell>
          <cell r="M439">
            <v>0</v>
          </cell>
          <cell r="N439">
            <v>0</v>
          </cell>
          <cell r="O439">
            <v>98848.078992583673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 t="str">
            <v>926WYP</v>
          </cell>
          <cell r="B440">
            <v>926</v>
          </cell>
          <cell r="C440" t="str">
            <v>WYP</v>
          </cell>
          <cell r="D440">
            <v>375321</v>
          </cell>
          <cell r="F440" t="str">
            <v>926WYP</v>
          </cell>
          <cell r="G440">
            <v>926</v>
          </cell>
          <cell r="H440" t="str">
            <v>WYP</v>
          </cell>
          <cell r="I440">
            <v>375321</v>
          </cell>
          <cell r="L440" t="str">
            <v>923CAGE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 t="str">
            <v>928CA</v>
          </cell>
          <cell r="B441">
            <v>928</v>
          </cell>
          <cell r="C441" t="str">
            <v>CA</v>
          </cell>
          <cell r="D441">
            <v>1057243.6599999999</v>
          </cell>
          <cell r="F441" t="str">
            <v>928CA</v>
          </cell>
          <cell r="G441">
            <v>928</v>
          </cell>
          <cell r="H441" t="str">
            <v>CA</v>
          </cell>
          <cell r="I441">
            <v>1057243.6599999999</v>
          </cell>
          <cell r="L441" t="str">
            <v>923CAGW</v>
          </cell>
          <cell r="M441">
            <v>0</v>
          </cell>
          <cell r="N441">
            <v>0</v>
          </cell>
          <cell r="O441">
            <v>64394.99995555231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 t="str">
            <v>928CAEE</v>
          </cell>
          <cell r="B442">
            <v>928</v>
          </cell>
          <cell r="C442" t="str">
            <v>CAEE</v>
          </cell>
          <cell r="D442">
            <v>8082.63</v>
          </cell>
          <cell r="F442" t="str">
            <v>928CAEE</v>
          </cell>
          <cell r="G442">
            <v>928</v>
          </cell>
          <cell r="H442" t="str">
            <v>CAEE</v>
          </cell>
          <cell r="I442">
            <v>8082.63</v>
          </cell>
          <cell r="L442" t="str">
            <v>923JBG</v>
          </cell>
          <cell r="M442">
            <v>0</v>
          </cell>
          <cell r="N442">
            <v>0</v>
          </cell>
          <cell r="O442">
            <v>2614.2646240441059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 t="str">
            <v>928CAGE</v>
          </cell>
          <cell r="B443">
            <v>928</v>
          </cell>
          <cell r="C443" t="str">
            <v>CAGE</v>
          </cell>
          <cell r="D443">
            <v>206393.68</v>
          </cell>
          <cell r="F443" t="str">
            <v>928CAGE</v>
          </cell>
          <cell r="G443">
            <v>928</v>
          </cell>
          <cell r="H443" t="str">
            <v>CAGE</v>
          </cell>
          <cell r="I443">
            <v>206393.68</v>
          </cell>
          <cell r="L443" t="str">
            <v>923S</v>
          </cell>
          <cell r="M443">
            <v>0</v>
          </cell>
          <cell r="N443">
            <v>0</v>
          </cell>
          <cell r="O443">
            <v>1919.8500000000004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A444" t="str">
            <v>928CAGW</v>
          </cell>
          <cell r="B444">
            <v>928</v>
          </cell>
          <cell r="C444" t="str">
            <v>CAGW</v>
          </cell>
          <cell r="D444">
            <v>2612211.69</v>
          </cell>
          <cell r="F444" t="str">
            <v>928CAGW</v>
          </cell>
          <cell r="G444">
            <v>928</v>
          </cell>
          <cell r="H444" t="str">
            <v>CAGW</v>
          </cell>
          <cell r="I444">
            <v>2612211.69</v>
          </cell>
          <cell r="L444" t="str">
            <v>923SG</v>
          </cell>
          <cell r="M444">
            <v>0</v>
          </cell>
          <cell r="N444">
            <v>0</v>
          </cell>
          <cell r="O444">
            <v>10013.740211972934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A445" t="str">
            <v>928ID</v>
          </cell>
          <cell r="B445">
            <v>928</v>
          </cell>
          <cell r="C445" t="str">
            <v>ID</v>
          </cell>
          <cell r="D445">
            <v>694442.08</v>
          </cell>
          <cell r="F445" t="str">
            <v>928ID</v>
          </cell>
          <cell r="G445">
            <v>928</v>
          </cell>
          <cell r="H445" t="str">
            <v>ID</v>
          </cell>
          <cell r="I445">
            <v>694442.08</v>
          </cell>
          <cell r="L445" t="str">
            <v>923SO</v>
          </cell>
          <cell r="M445">
            <v>0</v>
          </cell>
          <cell r="N445">
            <v>0</v>
          </cell>
          <cell r="O445">
            <v>-27625.646506035533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 t="str">
            <v>928OR</v>
          </cell>
          <cell r="B446">
            <v>928</v>
          </cell>
          <cell r="C446" t="str">
            <v>OR</v>
          </cell>
          <cell r="D446">
            <v>4070427.1</v>
          </cell>
          <cell r="F446" t="str">
            <v>928OR</v>
          </cell>
          <cell r="G446">
            <v>928</v>
          </cell>
          <cell r="H446" t="str">
            <v>OR</v>
          </cell>
          <cell r="I446">
            <v>4070427.1</v>
          </cell>
          <cell r="L446" t="str">
            <v>924SO</v>
          </cell>
          <cell r="M446">
            <v>0</v>
          </cell>
          <cell r="N446">
            <v>0</v>
          </cell>
          <cell r="O446">
            <v>-127874.28027931522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 t="str">
            <v>928SG</v>
          </cell>
          <cell r="B447">
            <v>928</v>
          </cell>
          <cell r="C447" t="str">
            <v>SG</v>
          </cell>
          <cell r="D447">
            <v>2415099.13</v>
          </cell>
          <cell r="F447" t="str">
            <v>928SG</v>
          </cell>
          <cell r="G447">
            <v>928</v>
          </cell>
          <cell r="H447" t="str">
            <v>SG</v>
          </cell>
          <cell r="I447">
            <v>2415099.13</v>
          </cell>
          <cell r="L447" t="str">
            <v>925S</v>
          </cell>
          <cell r="M447">
            <v>0</v>
          </cell>
          <cell r="N447">
            <v>0</v>
          </cell>
          <cell r="O447">
            <v>387.5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 t="str">
            <v>928SO</v>
          </cell>
          <cell r="B448">
            <v>928</v>
          </cell>
          <cell r="C448" t="str">
            <v>SO</v>
          </cell>
          <cell r="D448">
            <v>3155076.87</v>
          </cell>
          <cell r="F448" t="str">
            <v>928SO</v>
          </cell>
          <cell r="G448">
            <v>928</v>
          </cell>
          <cell r="H448" t="str">
            <v>SO</v>
          </cell>
          <cell r="I448">
            <v>3155076.87</v>
          </cell>
          <cell r="L448" t="str">
            <v>925SO</v>
          </cell>
          <cell r="M448">
            <v>0</v>
          </cell>
          <cell r="N448">
            <v>0</v>
          </cell>
          <cell r="O448">
            <v>131073.51358580225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</row>
        <row r="449">
          <cell r="A449" t="str">
            <v>928UT</v>
          </cell>
          <cell r="B449">
            <v>928</v>
          </cell>
          <cell r="C449" t="str">
            <v>UT</v>
          </cell>
          <cell r="D449">
            <v>6652137.2599999998</v>
          </cell>
          <cell r="F449" t="str">
            <v>928UT</v>
          </cell>
          <cell r="G449">
            <v>928</v>
          </cell>
          <cell r="H449" t="str">
            <v>UT</v>
          </cell>
          <cell r="I449">
            <v>6652137.2599999998</v>
          </cell>
          <cell r="L449" t="str">
            <v>926S</v>
          </cell>
          <cell r="M449">
            <v>0</v>
          </cell>
          <cell r="N449">
            <v>0</v>
          </cell>
          <cell r="O449">
            <v>73058.87999999999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 t="str">
            <v>928WA</v>
          </cell>
          <cell r="B450">
            <v>928</v>
          </cell>
          <cell r="C450" t="str">
            <v>WA</v>
          </cell>
          <cell r="D450">
            <v>663739.18999999994</v>
          </cell>
          <cell r="F450" t="str">
            <v>928WA</v>
          </cell>
          <cell r="G450">
            <v>928</v>
          </cell>
          <cell r="H450" t="str">
            <v>WA</v>
          </cell>
          <cell r="I450">
            <v>663739.18999999994</v>
          </cell>
          <cell r="L450" t="str">
            <v>926SO</v>
          </cell>
          <cell r="M450">
            <v>0</v>
          </cell>
          <cell r="N450">
            <v>0</v>
          </cell>
          <cell r="O450">
            <v>74462.307557463369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</row>
        <row r="451">
          <cell r="A451" t="str">
            <v>928WYP</v>
          </cell>
          <cell r="B451">
            <v>928</v>
          </cell>
          <cell r="C451" t="str">
            <v>WYP</v>
          </cell>
          <cell r="D451">
            <v>1595584.08</v>
          </cell>
          <cell r="F451" t="str">
            <v>928WYP</v>
          </cell>
          <cell r="G451">
            <v>928</v>
          </cell>
          <cell r="H451" t="str">
            <v>WYP</v>
          </cell>
          <cell r="I451">
            <v>1595584.08</v>
          </cell>
          <cell r="L451" t="str">
            <v>928CAGE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A452" t="str">
            <v>929SO</v>
          </cell>
          <cell r="B452">
            <v>929</v>
          </cell>
          <cell r="C452" t="str">
            <v>SO</v>
          </cell>
          <cell r="D452">
            <v>-130126920.04000001</v>
          </cell>
          <cell r="F452" t="str">
            <v>929SO</v>
          </cell>
          <cell r="G452">
            <v>929</v>
          </cell>
          <cell r="H452" t="str">
            <v>SO</v>
          </cell>
          <cell r="I452">
            <v>-130126920.04000001</v>
          </cell>
          <cell r="L452" t="str">
            <v>928CAGW</v>
          </cell>
          <cell r="M452">
            <v>0</v>
          </cell>
          <cell r="N452">
            <v>0</v>
          </cell>
          <cell r="O452">
            <v>57.718990624016129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A453" t="str">
            <v>930CA</v>
          </cell>
          <cell r="B453">
            <v>930</v>
          </cell>
          <cell r="C453" t="str">
            <v>CA</v>
          </cell>
          <cell r="D453">
            <v>1000</v>
          </cell>
          <cell r="F453" t="str">
            <v>930CA</v>
          </cell>
          <cell r="G453">
            <v>930</v>
          </cell>
          <cell r="H453" t="str">
            <v>CA</v>
          </cell>
          <cell r="I453">
            <v>1000</v>
          </cell>
          <cell r="L453" t="str">
            <v>928S</v>
          </cell>
          <cell r="M453">
            <v>0</v>
          </cell>
          <cell r="N453">
            <v>0</v>
          </cell>
          <cell r="O453">
            <v>-535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 t="str">
            <v>930ID</v>
          </cell>
          <cell r="B454">
            <v>930</v>
          </cell>
          <cell r="C454" t="str">
            <v>ID</v>
          </cell>
          <cell r="D454">
            <v>0</v>
          </cell>
          <cell r="F454" t="str">
            <v>930ID</v>
          </cell>
          <cell r="G454">
            <v>930</v>
          </cell>
          <cell r="H454" t="str">
            <v>ID</v>
          </cell>
          <cell r="I454">
            <v>0</v>
          </cell>
          <cell r="L454" t="str">
            <v>928SG</v>
          </cell>
          <cell r="M454">
            <v>0</v>
          </cell>
          <cell r="N454">
            <v>0</v>
          </cell>
          <cell r="O454">
            <v>153.09764114344108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 t="str">
            <v>930OR</v>
          </cell>
          <cell r="B455">
            <v>930</v>
          </cell>
          <cell r="C455" t="str">
            <v>OR</v>
          </cell>
          <cell r="D455">
            <v>33353.53</v>
          </cell>
          <cell r="F455" t="str">
            <v>930OR</v>
          </cell>
          <cell r="G455">
            <v>930</v>
          </cell>
          <cell r="H455" t="str">
            <v>OR</v>
          </cell>
          <cell r="I455">
            <v>33353.53</v>
          </cell>
          <cell r="L455" t="str">
            <v>928SO</v>
          </cell>
          <cell r="M455">
            <v>0</v>
          </cell>
          <cell r="N455">
            <v>0</v>
          </cell>
          <cell r="O455">
            <v>-122158.40392036689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A456" t="str">
            <v>930SO</v>
          </cell>
          <cell r="B456">
            <v>930</v>
          </cell>
          <cell r="C456" t="str">
            <v>SO</v>
          </cell>
          <cell r="D456">
            <v>2160475.2999999998</v>
          </cell>
          <cell r="F456" t="str">
            <v>930SO</v>
          </cell>
          <cell r="G456">
            <v>930</v>
          </cell>
          <cell r="H456" t="str">
            <v>SO</v>
          </cell>
          <cell r="I456">
            <v>2160475.2999999998</v>
          </cell>
          <cell r="L456" t="str">
            <v>929SO</v>
          </cell>
          <cell r="M456">
            <v>0</v>
          </cell>
          <cell r="N456">
            <v>0</v>
          </cell>
          <cell r="O456">
            <v>-1214.0235334185697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A457" t="str">
            <v>930UT</v>
          </cell>
          <cell r="B457">
            <v>930</v>
          </cell>
          <cell r="C457" t="str">
            <v>UT</v>
          </cell>
          <cell r="D457">
            <v>0</v>
          </cell>
          <cell r="F457" t="str">
            <v>930UT</v>
          </cell>
          <cell r="G457">
            <v>930</v>
          </cell>
          <cell r="H457" t="str">
            <v>UT</v>
          </cell>
          <cell r="I457">
            <v>0</v>
          </cell>
          <cell r="L457" t="str">
            <v>930S</v>
          </cell>
          <cell r="M457">
            <v>0</v>
          </cell>
          <cell r="N457">
            <v>0</v>
          </cell>
          <cell r="O457">
            <v>39022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A458" t="str">
            <v>930WA</v>
          </cell>
          <cell r="B458">
            <v>930</v>
          </cell>
          <cell r="C458" t="str">
            <v>WA</v>
          </cell>
          <cell r="D458">
            <v>7272.94</v>
          </cell>
          <cell r="F458" t="str">
            <v>930WA</v>
          </cell>
          <cell r="G458">
            <v>930</v>
          </cell>
          <cell r="H458" t="str">
            <v>WA</v>
          </cell>
          <cell r="I458">
            <v>7272.94</v>
          </cell>
          <cell r="L458" t="str">
            <v>930SO</v>
          </cell>
          <cell r="M458">
            <v>0</v>
          </cell>
          <cell r="N458">
            <v>0</v>
          </cell>
          <cell r="O458">
            <v>-26000.489973346092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A459" t="str">
            <v>930WYP</v>
          </cell>
          <cell r="B459">
            <v>930</v>
          </cell>
          <cell r="C459" t="str">
            <v>WYP</v>
          </cell>
          <cell r="D459">
            <v>870</v>
          </cell>
          <cell r="F459" t="str">
            <v>930WYP</v>
          </cell>
          <cell r="G459">
            <v>930</v>
          </cell>
          <cell r="H459" t="str">
            <v>WYP</v>
          </cell>
          <cell r="I459">
            <v>870</v>
          </cell>
          <cell r="L459" t="str">
            <v>935S</v>
          </cell>
          <cell r="M459">
            <v>0</v>
          </cell>
          <cell r="N459">
            <v>0</v>
          </cell>
          <cell r="O459">
            <v>1.7820010586011179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A460" t="str">
            <v>930WYU</v>
          </cell>
          <cell r="B460">
            <v>930</v>
          </cell>
          <cell r="C460" t="str">
            <v>WYU</v>
          </cell>
          <cell r="D460">
            <v>0</v>
          </cell>
          <cell r="F460" t="str">
            <v>930WYU</v>
          </cell>
          <cell r="G460">
            <v>930</v>
          </cell>
          <cell r="H460" t="str">
            <v>WYU</v>
          </cell>
          <cell r="I460">
            <v>0</v>
          </cell>
          <cell r="L460" t="str">
            <v>935SO</v>
          </cell>
          <cell r="M460">
            <v>0</v>
          </cell>
          <cell r="N460">
            <v>0</v>
          </cell>
          <cell r="O460">
            <v>8167.8570022847698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A461" t="str">
            <v>931CA</v>
          </cell>
          <cell r="B461">
            <v>931</v>
          </cell>
          <cell r="C461" t="str">
            <v>CA</v>
          </cell>
          <cell r="D461">
            <v>66943.88</v>
          </cell>
          <cell r="F461" t="str">
            <v>931CA</v>
          </cell>
          <cell r="G461">
            <v>931</v>
          </cell>
          <cell r="H461" t="str">
            <v>CA</v>
          </cell>
          <cell r="I461">
            <v>66943.88</v>
          </cell>
          <cell r="L461" t="str">
            <v>ACCOUNTS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A462" t="str">
            <v>931ID</v>
          </cell>
          <cell r="B462">
            <v>931</v>
          </cell>
          <cell r="C462" t="str">
            <v>ID</v>
          </cell>
          <cell r="D462">
            <v>1012.32</v>
          </cell>
          <cell r="F462" t="str">
            <v>931ID</v>
          </cell>
          <cell r="G462">
            <v>931</v>
          </cell>
          <cell r="H462" t="str">
            <v>ID</v>
          </cell>
          <cell r="I462">
            <v>1012.32</v>
          </cell>
          <cell r="L462" t="str">
            <v>CWCS</v>
          </cell>
          <cell r="M462">
            <v>0</v>
          </cell>
          <cell r="N462">
            <v>0</v>
          </cell>
          <cell r="O462">
            <v>23459504.952025533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A463" t="str">
            <v>931OR</v>
          </cell>
          <cell r="B463">
            <v>931</v>
          </cell>
          <cell r="C463" t="str">
            <v>OR</v>
          </cell>
          <cell r="D463">
            <v>259286.92</v>
          </cell>
          <cell r="F463" t="str">
            <v>931OR</v>
          </cell>
          <cell r="G463">
            <v>931</v>
          </cell>
          <cell r="H463" t="str">
            <v>OR</v>
          </cell>
          <cell r="I463">
            <v>259286.92</v>
          </cell>
          <cell r="L463" t="str">
            <v>DPS</v>
          </cell>
          <cell r="M463">
            <v>0</v>
          </cell>
          <cell r="N463">
            <v>0</v>
          </cell>
          <cell r="O463">
            <v>-2435140.8337500002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A464" t="str">
            <v>931SO</v>
          </cell>
          <cell r="B464">
            <v>931</v>
          </cell>
          <cell r="C464" t="str">
            <v>SO</v>
          </cell>
          <cell r="D464">
            <v>2138242.75</v>
          </cell>
          <cell r="F464" t="str">
            <v>931SO</v>
          </cell>
          <cell r="G464">
            <v>931</v>
          </cell>
          <cell r="H464" t="str">
            <v>SO</v>
          </cell>
          <cell r="I464">
            <v>2138242.75</v>
          </cell>
          <cell r="L464" t="str">
            <v>GPCAGE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A465" t="str">
            <v>931UT</v>
          </cell>
          <cell r="B465">
            <v>931</v>
          </cell>
          <cell r="C465" t="str">
            <v>UT</v>
          </cell>
          <cell r="D465">
            <v>10014.719999999999</v>
          </cell>
          <cell r="F465" t="str">
            <v>931UT</v>
          </cell>
          <cell r="G465">
            <v>931</v>
          </cell>
          <cell r="H465" t="str">
            <v>UT</v>
          </cell>
          <cell r="I465">
            <v>10014.719999999999</v>
          </cell>
          <cell r="L465" t="str">
            <v>GPSG</v>
          </cell>
          <cell r="M465">
            <v>0</v>
          </cell>
          <cell r="N465">
            <v>0</v>
          </cell>
          <cell r="O465">
            <v>534.72937767997757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A466" t="str">
            <v>931WA</v>
          </cell>
          <cell r="B466">
            <v>931</v>
          </cell>
          <cell r="C466" t="str">
            <v>WA</v>
          </cell>
          <cell r="D466">
            <v>41302.43</v>
          </cell>
          <cell r="F466" t="str">
            <v>931WA</v>
          </cell>
          <cell r="G466">
            <v>931</v>
          </cell>
          <cell r="H466" t="str">
            <v>WA</v>
          </cell>
          <cell r="I466">
            <v>41302.43</v>
          </cell>
          <cell r="L466" t="str">
            <v>GPSO</v>
          </cell>
          <cell r="M466">
            <v>0</v>
          </cell>
          <cell r="N466">
            <v>0</v>
          </cell>
          <cell r="O466">
            <v>857422.0128971535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 t="str">
            <v>931WYP</v>
          </cell>
          <cell r="B467">
            <v>931</v>
          </cell>
          <cell r="C467" t="str">
            <v>WYP</v>
          </cell>
          <cell r="D467">
            <v>41919.730000000003</v>
          </cell>
          <cell r="F467" t="str">
            <v>931WYP</v>
          </cell>
          <cell r="G467">
            <v>931</v>
          </cell>
          <cell r="H467" t="str">
            <v>WYP</v>
          </cell>
          <cell r="I467">
            <v>41919.730000000003</v>
          </cell>
          <cell r="L467" t="str">
            <v>OWC143SO</v>
          </cell>
          <cell r="M467">
            <v>0</v>
          </cell>
          <cell r="N467">
            <v>0</v>
          </cell>
          <cell r="O467">
            <v>-3490479.2739727902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A468" t="str">
            <v>935CA</v>
          </cell>
          <cell r="B468">
            <v>935</v>
          </cell>
          <cell r="C468" t="str">
            <v>CA</v>
          </cell>
          <cell r="D468">
            <v>93038.6</v>
          </cell>
          <cell r="F468" t="str">
            <v>935CA</v>
          </cell>
          <cell r="G468">
            <v>935</v>
          </cell>
          <cell r="H468" t="str">
            <v>CA</v>
          </cell>
          <cell r="I468">
            <v>93038.6</v>
          </cell>
          <cell r="L468" t="str">
            <v>OWC232CAEE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A469" t="str">
            <v>935CN</v>
          </cell>
          <cell r="B469">
            <v>935</v>
          </cell>
          <cell r="C469" t="str">
            <v>CN</v>
          </cell>
          <cell r="D469">
            <v>59158.26</v>
          </cell>
          <cell r="F469" t="str">
            <v>935CN</v>
          </cell>
          <cell r="G469">
            <v>935</v>
          </cell>
          <cell r="H469" t="str">
            <v>CN</v>
          </cell>
          <cell r="I469">
            <v>59158.26</v>
          </cell>
          <cell r="L469" t="str">
            <v>OWC232CAGE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A470" t="str">
            <v>935ID</v>
          </cell>
          <cell r="B470">
            <v>935</v>
          </cell>
          <cell r="C470" t="str">
            <v>ID</v>
          </cell>
          <cell r="D470">
            <v>15194.54</v>
          </cell>
          <cell r="F470" t="str">
            <v>935ID</v>
          </cell>
          <cell r="G470">
            <v>935</v>
          </cell>
          <cell r="H470" t="str">
            <v>ID</v>
          </cell>
          <cell r="I470">
            <v>15194.54</v>
          </cell>
          <cell r="L470" t="str">
            <v>OWC232S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A471" t="str">
            <v>935OR</v>
          </cell>
          <cell r="B471">
            <v>935</v>
          </cell>
          <cell r="C471" t="str">
            <v>OR</v>
          </cell>
          <cell r="D471">
            <v>167285.01</v>
          </cell>
          <cell r="F471" t="str">
            <v>935OR</v>
          </cell>
          <cell r="G471">
            <v>935</v>
          </cell>
          <cell r="H471" t="str">
            <v>OR</v>
          </cell>
          <cell r="I471">
            <v>167285.01</v>
          </cell>
          <cell r="L471" t="str">
            <v>OWC232SG</v>
          </cell>
          <cell r="M471">
            <v>0</v>
          </cell>
          <cell r="N471">
            <v>0</v>
          </cell>
          <cell r="O471">
            <v>160375.10243031819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A472" t="str">
            <v>935SO</v>
          </cell>
          <cell r="B472">
            <v>935</v>
          </cell>
          <cell r="C472" t="str">
            <v>SO</v>
          </cell>
          <cell r="D472">
            <v>23205820.41</v>
          </cell>
          <cell r="F472" t="str">
            <v>935SO</v>
          </cell>
          <cell r="G472">
            <v>935</v>
          </cell>
          <cell r="H472" t="str">
            <v>SO</v>
          </cell>
          <cell r="I472">
            <v>23205820.41</v>
          </cell>
          <cell r="L472" t="str">
            <v>OWC232SO</v>
          </cell>
          <cell r="M472">
            <v>0</v>
          </cell>
          <cell r="N472">
            <v>0</v>
          </cell>
          <cell r="O472">
            <v>490630.22944147052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</row>
        <row r="473">
          <cell r="A473" t="str">
            <v>935UT</v>
          </cell>
          <cell r="B473">
            <v>935</v>
          </cell>
          <cell r="C473" t="str">
            <v>UT</v>
          </cell>
          <cell r="D473">
            <v>100923.51</v>
          </cell>
          <cell r="F473" t="str">
            <v>935UT</v>
          </cell>
          <cell r="G473">
            <v>935</v>
          </cell>
          <cell r="H473" t="str">
            <v>UT</v>
          </cell>
          <cell r="I473">
            <v>100923.51</v>
          </cell>
          <cell r="L473" t="str">
            <v>OWC2533CAGE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</row>
        <row r="474">
          <cell r="A474" t="str">
            <v>935WA</v>
          </cell>
          <cell r="B474">
            <v>935</v>
          </cell>
          <cell r="C474" t="str">
            <v>WA</v>
          </cell>
          <cell r="D474">
            <v>46370.82</v>
          </cell>
          <cell r="F474" t="str">
            <v>935WA</v>
          </cell>
          <cell r="G474">
            <v>935</v>
          </cell>
          <cell r="H474" t="str">
            <v>WA</v>
          </cell>
          <cell r="I474">
            <v>46370.82</v>
          </cell>
          <cell r="L474" t="str">
            <v>OWC254105CAEE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</row>
        <row r="475">
          <cell r="A475" t="str">
            <v>935WYP</v>
          </cell>
          <cell r="B475">
            <v>935</v>
          </cell>
          <cell r="C475" t="str">
            <v>WYP</v>
          </cell>
          <cell r="D475">
            <v>41341.82</v>
          </cell>
          <cell r="F475" t="str">
            <v>935WYP</v>
          </cell>
          <cell r="G475">
            <v>935</v>
          </cell>
          <cell r="H475" t="str">
            <v>WYP</v>
          </cell>
          <cell r="I475">
            <v>41341.82</v>
          </cell>
          <cell r="L475" t="str">
            <v>OWC254105CAGE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</row>
        <row r="476">
          <cell r="A476" t="str">
            <v>935WYU</v>
          </cell>
          <cell r="B476">
            <v>935</v>
          </cell>
          <cell r="C476" t="str">
            <v>WYU</v>
          </cell>
          <cell r="D476">
            <v>7474.23</v>
          </cell>
          <cell r="F476" t="str">
            <v>935WYU</v>
          </cell>
          <cell r="G476">
            <v>935</v>
          </cell>
          <cell r="H476" t="str">
            <v>WYU</v>
          </cell>
          <cell r="I476">
            <v>7474.23</v>
          </cell>
          <cell r="L476" t="str">
            <v>SCHMAPJBE</v>
          </cell>
          <cell r="M476">
            <v>0</v>
          </cell>
          <cell r="N476">
            <v>0</v>
          </cell>
          <cell r="O476">
            <v>-9064.8691755626114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 t="str">
            <v>4118SE</v>
          </cell>
          <cell r="B477">
            <v>4118</v>
          </cell>
          <cell r="C477" t="str">
            <v>SE</v>
          </cell>
          <cell r="D477">
            <v>-173.36</v>
          </cell>
          <cell r="F477" t="str">
            <v>4118SE</v>
          </cell>
          <cell r="G477">
            <v>4118</v>
          </cell>
          <cell r="H477" t="str">
            <v>SE</v>
          </cell>
          <cell r="I477">
            <v>-173.36</v>
          </cell>
          <cell r="L477" t="str">
            <v>SCHMAPSCHMDEXP</v>
          </cell>
          <cell r="M477">
            <v>0</v>
          </cell>
          <cell r="N477">
            <v>0</v>
          </cell>
          <cell r="O477">
            <v>1211.4725894705491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</row>
        <row r="478">
          <cell r="A478" t="str">
            <v>40910IBT</v>
          </cell>
          <cell r="B478">
            <v>40910</v>
          </cell>
          <cell r="C478" t="str">
            <v>IBT</v>
          </cell>
          <cell r="D478">
            <v>137232718.15000001</v>
          </cell>
          <cell r="F478" t="str">
            <v>40910IBT</v>
          </cell>
          <cell r="G478">
            <v>40910</v>
          </cell>
          <cell r="H478" t="str">
            <v>IBT</v>
          </cell>
          <cell r="I478">
            <v>137232718.15000001</v>
          </cell>
          <cell r="L478" t="str">
            <v>SCHMAPSO</v>
          </cell>
          <cell r="M478">
            <v>0</v>
          </cell>
          <cell r="N478">
            <v>0</v>
          </cell>
          <cell r="O478">
            <v>58089.600508754433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 t="str">
            <v>40911IBT</v>
          </cell>
          <cell r="B479">
            <v>40911</v>
          </cell>
          <cell r="C479" t="str">
            <v>IBT</v>
          </cell>
          <cell r="D479">
            <v>35668036.920000002</v>
          </cell>
          <cell r="F479" t="str">
            <v>40911IBT</v>
          </cell>
          <cell r="G479">
            <v>40911</v>
          </cell>
          <cell r="H479" t="str">
            <v>IBT</v>
          </cell>
          <cell r="I479">
            <v>35668036.920000002</v>
          </cell>
          <cell r="L479" t="str">
            <v>SCHMATCAEE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</row>
        <row r="480">
          <cell r="A480" t="str">
            <v>41140DGU</v>
          </cell>
          <cell r="B480">
            <v>41140</v>
          </cell>
          <cell r="C480" t="str">
            <v>DGU</v>
          </cell>
          <cell r="D480">
            <v>-2943986.95</v>
          </cell>
          <cell r="F480" t="str">
            <v>41140DGU</v>
          </cell>
          <cell r="G480">
            <v>41140</v>
          </cell>
          <cell r="H480" t="str">
            <v>DGU</v>
          </cell>
          <cell r="I480">
            <v>-2943986.95</v>
          </cell>
          <cell r="L480" t="str">
            <v>SCHMATCAGE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 t="str">
            <v>41160SO</v>
          </cell>
          <cell r="B481">
            <v>41160</v>
          </cell>
          <cell r="C481" t="str">
            <v>SO</v>
          </cell>
          <cell r="D481">
            <v>0</v>
          </cell>
          <cell r="F481" t="str">
            <v>41160SO</v>
          </cell>
          <cell r="G481">
            <v>41160</v>
          </cell>
          <cell r="H481" t="str">
            <v>SO</v>
          </cell>
          <cell r="I481">
            <v>0</v>
          </cell>
          <cell r="L481" t="str">
            <v>SCHMATCAGW</v>
          </cell>
          <cell r="M481">
            <v>0</v>
          </cell>
          <cell r="N481">
            <v>0</v>
          </cell>
          <cell r="O481">
            <v>3082916.3170979284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 t="str">
            <v>403360CA</v>
          </cell>
          <cell r="B482">
            <v>403360</v>
          </cell>
          <cell r="C482" t="str">
            <v>CA</v>
          </cell>
          <cell r="D482">
            <v>25184.27</v>
          </cell>
          <cell r="F482" t="str">
            <v>403360CA</v>
          </cell>
          <cell r="G482">
            <v>403360</v>
          </cell>
          <cell r="H482" t="str">
            <v>CA</v>
          </cell>
          <cell r="I482">
            <v>25184.27</v>
          </cell>
          <cell r="L482" t="str">
            <v>SCHMATCN</v>
          </cell>
          <cell r="M482">
            <v>0</v>
          </cell>
          <cell r="N482">
            <v>0</v>
          </cell>
          <cell r="O482">
            <v>50557.188580000024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</row>
        <row r="483">
          <cell r="A483" t="str">
            <v>403360ID</v>
          </cell>
          <cell r="B483">
            <v>403360</v>
          </cell>
          <cell r="C483" t="str">
            <v>ID</v>
          </cell>
          <cell r="D483">
            <v>26510.13</v>
          </cell>
          <cell r="F483" t="str">
            <v>403360ID</v>
          </cell>
          <cell r="G483">
            <v>403360</v>
          </cell>
          <cell r="H483" t="str">
            <v>ID</v>
          </cell>
          <cell r="I483">
            <v>26510.13</v>
          </cell>
          <cell r="L483" t="str">
            <v>SCHMATJBG</v>
          </cell>
          <cell r="M483">
            <v>0</v>
          </cell>
          <cell r="N483">
            <v>0</v>
          </cell>
          <cell r="O483">
            <v>61179315.218429595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 t="str">
            <v>403360OR</v>
          </cell>
          <cell r="B484">
            <v>403360</v>
          </cell>
          <cell r="C484" t="str">
            <v>OR</v>
          </cell>
          <cell r="D484">
            <v>61992.04</v>
          </cell>
          <cell r="F484" t="str">
            <v>403360OR</v>
          </cell>
          <cell r="G484">
            <v>403360</v>
          </cell>
          <cell r="H484" t="str">
            <v>OR</v>
          </cell>
          <cell r="I484">
            <v>61992.04</v>
          </cell>
          <cell r="L484" t="str">
            <v>SCHMATS</v>
          </cell>
          <cell r="M484">
            <v>0</v>
          </cell>
          <cell r="N484">
            <v>0</v>
          </cell>
          <cell r="O484">
            <v>4802651.805216047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</row>
        <row r="485">
          <cell r="A485" t="str">
            <v>403360UT</v>
          </cell>
          <cell r="B485">
            <v>403360</v>
          </cell>
          <cell r="C485" t="str">
            <v>UT</v>
          </cell>
          <cell r="D485">
            <v>184675.04</v>
          </cell>
          <cell r="F485" t="str">
            <v>403360UT</v>
          </cell>
          <cell r="G485">
            <v>403360</v>
          </cell>
          <cell r="H485" t="str">
            <v>UT</v>
          </cell>
          <cell r="I485">
            <v>184675.04</v>
          </cell>
          <cell r="L485" t="str">
            <v>SCHMATSCHMDEXP</v>
          </cell>
          <cell r="M485">
            <v>0</v>
          </cell>
          <cell r="N485">
            <v>0</v>
          </cell>
          <cell r="O485">
            <v>-12239205.407033948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</row>
        <row r="486">
          <cell r="A486" t="str">
            <v>403360WA</v>
          </cell>
          <cell r="B486">
            <v>403360</v>
          </cell>
          <cell r="C486" t="str">
            <v>WA</v>
          </cell>
          <cell r="D486">
            <v>7609.99</v>
          </cell>
          <cell r="F486" t="str">
            <v>403360WA</v>
          </cell>
          <cell r="G486">
            <v>403360</v>
          </cell>
          <cell r="H486" t="str">
            <v>WA</v>
          </cell>
          <cell r="I486">
            <v>7609.99</v>
          </cell>
          <cell r="L486" t="str">
            <v>SCHMATSG</v>
          </cell>
          <cell r="M486">
            <v>0</v>
          </cell>
          <cell r="N486">
            <v>0</v>
          </cell>
          <cell r="O486">
            <v>10939619.891423944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</row>
        <row r="487">
          <cell r="A487" t="str">
            <v>403360WYP</v>
          </cell>
          <cell r="B487">
            <v>403360</v>
          </cell>
          <cell r="C487" t="str">
            <v>WYP</v>
          </cell>
          <cell r="D487">
            <v>43042.73</v>
          </cell>
          <cell r="F487" t="str">
            <v>403360WYP</v>
          </cell>
          <cell r="G487">
            <v>403360</v>
          </cell>
          <cell r="H487" t="str">
            <v>WYP</v>
          </cell>
          <cell r="I487">
            <v>43042.73</v>
          </cell>
          <cell r="L487" t="str">
            <v>SCHMATSO</v>
          </cell>
          <cell r="M487">
            <v>0</v>
          </cell>
          <cell r="N487">
            <v>0</v>
          </cell>
          <cell r="O487">
            <v>480245.61747172853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</row>
        <row r="488">
          <cell r="A488" t="str">
            <v>403360WYU</v>
          </cell>
          <cell r="B488">
            <v>403360</v>
          </cell>
          <cell r="C488" t="str">
            <v>WYU</v>
          </cell>
          <cell r="D488">
            <v>79910.179999999993</v>
          </cell>
          <cell r="F488" t="str">
            <v>403360WYU</v>
          </cell>
          <cell r="G488">
            <v>403360</v>
          </cell>
          <cell r="H488" t="str">
            <v>WYU</v>
          </cell>
          <cell r="I488">
            <v>79910.179999999993</v>
          </cell>
          <cell r="L488" t="str">
            <v>SCHMDPJBE</v>
          </cell>
          <cell r="M488">
            <v>0</v>
          </cell>
          <cell r="N488">
            <v>0</v>
          </cell>
          <cell r="O488">
            <v>559334.39520980429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 t="str">
            <v>403361CA</v>
          </cell>
          <cell r="B489">
            <v>403361</v>
          </cell>
          <cell r="C489" t="str">
            <v>CA</v>
          </cell>
          <cell r="D489">
            <v>106202.62</v>
          </cell>
          <cell r="F489" t="str">
            <v>403361CA</v>
          </cell>
          <cell r="G489">
            <v>403361</v>
          </cell>
          <cell r="H489" t="str">
            <v>CA</v>
          </cell>
          <cell r="I489">
            <v>106202.62</v>
          </cell>
          <cell r="L489" t="str">
            <v>SCHMDPSCHMDEXP</v>
          </cell>
          <cell r="M489">
            <v>0</v>
          </cell>
          <cell r="N489">
            <v>0</v>
          </cell>
          <cell r="O489">
            <v>1310.5216784610159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0">
          <cell r="A490" t="str">
            <v>403361ID</v>
          </cell>
          <cell r="B490">
            <v>403361</v>
          </cell>
          <cell r="C490" t="str">
            <v>ID</v>
          </cell>
          <cell r="D490">
            <v>49675.83</v>
          </cell>
          <cell r="F490" t="str">
            <v>403361ID</v>
          </cell>
          <cell r="G490">
            <v>403361</v>
          </cell>
          <cell r="H490" t="str">
            <v>ID</v>
          </cell>
          <cell r="I490">
            <v>49675.83</v>
          </cell>
          <cell r="L490" t="str">
            <v>SCHMDPSE</v>
          </cell>
          <cell r="M490">
            <v>0</v>
          </cell>
          <cell r="N490">
            <v>0</v>
          </cell>
          <cell r="O490">
            <v>38389.702080008101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</row>
        <row r="491">
          <cell r="A491" t="str">
            <v>403361OR</v>
          </cell>
          <cell r="B491">
            <v>403361</v>
          </cell>
          <cell r="C491" t="str">
            <v>OR</v>
          </cell>
          <cell r="D491">
            <v>572194.55000000005</v>
          </cell>
          <cell r="F491" t="str">
            <v>403361OR</v>
          </cell>
          <cell r="G491">
            <v>403361</v>
          </cell>
          <cell r="H491" t="str">
            <v>OR</v>
          </cell>
          <cell r="I491">
            <v>572194.55000000005</v>
          </cell>
          <cell r="L491" t="str">
            <v>SCHMDPSNP</v>
          </cell>
          <cell r="M491">
            <v>0</v>
          </cell>
          <cell r="N491">
            <v>0</v>
          </cell>
          <cell r="O491">
            <v>80.66439939744933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</row>
        <row r="492">
          <cell r="A492" t="str">
            <v>403361UT</v>
          </cell>
          <cell r="B492">
            <v>403361</v>
          </cell>
          <cell r="C492" t="str">
            <v>UT</v>
          </cell>
          <cell r="D492">
            <v>956274.51</v>
          </cell>
          <cell r="F492" t="str">
            <v>403361UT</v>
          </cell>
          <cell r="G492">
            <v>403361</v>
          </cell>
          <cell r="H492" t="str">
            <v>UT</v>
          </cell>
          <cell r="I492">
            <v>956274.51</v>
          </cell>
          <cell r="L492" t="str">
            <v>SCHMDTCAGE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</row>
        <row r="493">
          <cell r="A493" t="str">
            <v>403361WA</v>
          </cell>
          <cell r="B493">
            <v>403361</v>
          </cell>
          <cell r="C493" t="str">
            <v>WA</v>
          </cell>
          <cell r="D493">
            <v>88427.67</v>
          </cell>
          <cell r="F493" t="str">
            <v>403361WA</v>
          </cell>
          <cell r="G493">
            <v>403361</v>
          </cell>
          <cell r="H493" t="str">
            <v>WA</v>
          </cell>
          <cell r="I493">
            <v>88427.67</v>
          </cell>
          <cell r="L493" t="str">
            <v>SCHMDTCAGW</v>
          </cell>
          <cell r="M493">
            <v>0</v>
          </cell>
          <cell r="N493">
            <v>0</v>
          </cell>
          <cell r="O493">
            <v>616900.55035063112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 t="str">
            <v>403361WYP</v>
          </cell>
          <cell r="B494">
            <v>403361</v>
          </cell>
          <cell r="C494" t="str">
            <v>WYP</v>
          </cell>
          <cell r="D494">
            <v>223711.32</v>
          </cell>
          <cell r="F494" t="str">
            <v>403361WYP</v>
          </cell>
          <cell r="G494">
            <v>403361</v>
          </cell>
          <cell r="H494" t="str">
            <v>WYP</v>
          </cell>
          <cell r="I494">
            <v>223711.32</v>
          </cell>
          <cell r="L494" t="str">
            <v>SCHMDTJBG</v>
          </cell>
          <cell r="M494">
            <v>0</v>
          </cell>
          <cell r="N494">
            <v>0</v>
          </cell>
          <cell r="O494">
            <v>282326.00795168261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A495" t="str">
            <v>403361WYU</v>
          </cell>
          <cell r="B495">
            <v>403361</v>
          </cell>
          <cell r="C495" t="str">
            <v>WYU</v>
          </cell>
          <cell r="D495">
            <v>88664.639999999999</v>
          </cell>
          <cell r="F495" t="str">
            <v>403361WYU</v>
          </cell>
          <cell r="G495">
            <v>403361</v>
          </cell>
          <cell r="H495" t="str">
            <v>WYU</v>
          </cell>
          <cell r="I495">
            <v>88664.639999999999</v>
          </cell>
          <cell r="L495" t="str">
            <v>SCHMDTS</v>
          </cell>
          <cell r="M495">
            <v>0</v>
          </cell>
          <cell r="N495">
            <v>0</v>
          </cell>
          <cell r="O495">
            <v>1309928.4689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A496" t="str">
            <v>403362CA</v>
          </cell>
          <cell r="B496">
            <v>403362</v>
          </cell>
          <cell r="C496" t="str">
            <v>CA</v>
          </cell>
          <cell r="D496">
            <v>815994.36</v>
          </cell>
          <cell r="F496" t="str">
            <v>403362CA</v>
          </cell>
          <cell r="G496">
            <v>403362</v>
          </cell>
          <cell r="H496" t="str">
            <v>CA</v>
          </cell>
          <cell r="I496">
            <v>815994.36</v>
          </cell>
          <cell r="L496" t="str">
            <v>SCHMDTSG</v>
          </cell>
          <cell r="M496">
            <v>0</v>
          </cell>
          <cell r="N496">
            <v>0</v>
          </cell>
          <cell r="O496">
            <v>31961350.536864962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A497" t="str">
            <v>403362ID</v>
          </cell>
          <cell r="B497">
            <v>403362</v>
          </cell>
          <cell r="C497" t="str">
            <v>ID</v>
          </cell>
          <cell r="D497">
            <v>-1747209.11</v>
          </cell>
          <cell r="F497" t="str">
            <v>403362ID</v>
          </cell>
          <cell r="G497">
            <v>403362</v>
          </cell>
          <cell r="H497" t="str">
            <v>ID</v>
          </cell>
          <cell r="I497">
            <v>-1747209.11</v>
          </cell>
          <cell r="L497" t="str">
            <v>SCHMDTSO</v>
          </cell>
          <cell r="M497">
            <v>0</v>
          </cell>
          <cell r="N497">
            <v>0</v>
          </cell>
          <cell r="O497">
            <v>840636.2653579053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</row>
        <row r="498">
          <cell r="A498" t="str">
            <v>403362OR</v>
          </cell>
          <cell r="B498">
            <v>403362</v>
          </cell>
          <cell r="C498" t="str">
            <v>OR</v>
          </cell>
          <cell r="D498">
            <v>5417171.9199999999</v>
          </cell>
          <cell r="F498" t="str">
            <v>403362OR</v>
          </cell>
          <cell r="G498">
            <v>403362</v>
          </cell>
          <cell r="H498" t="str">
            <v>OR</v>
          </cell>
          <cell r="I498">
            <v>5417171.9199999999</v>
          </cell>
          <cell r="L498" t="str">
            <v>SCHMDTTAXDEPR</v>
          </cell>
          <cell r="M498">
            <v>0</v>
          </cell>
          <cell r="N498">
            <v>0</v>
          </cell>
          <cell r="O498">
            <v>17920124.609870076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</row>
        <row r="499">
          <cell r="A499" t="str">
            <v>403362UT</v>
          </cell>
          <cell r="B499">
            <v>403362</v>
          </cell>
          <cell r="C499" t="str">
            <v>UT</v>
          </cell>
          <cell r="D499">
            <v>-11208584.23</v>
          </cell>
          <cell r="F499" t="str">
            <v>403362UT</v>
          </cell>
          <cell r="G499">
            <v>403362</v>
          </cell>
          <cell r="H499" t="str">
            <v>UT</v>
          </cell>
          <cell r="I499">
            <v>-11208584.23</v>
          </cell>
          <cell r="L499" t="str">
            <v>SPCAGE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</row>
        <row r="500">
          <cell r="A500" t="str">
            <v>403362WA</v>
          </cell>
          <cell r="B500">
            <v>403362</v>
          </cell>
          <cell r="C500" t="str">
            <v>WA</v>
          </cell>
          <cell r="D500">
            <v>1786484.07</v>
          </cell>
          <cell r="F500" t="str">
            <v>403362WA</v>
          </cell>
          <cell r="G500">
            <v>403362</v>
          </cell>
          <cell r="H500" t="str">
            <v>WA</v>
          </cell>
          <cell r="I500">
            <v>1786484.07</v>
          </cell>
          <cell r="L500" t="str">
            <v>SPSG</v>
          </cell>
          <cell r="M500">
            <v>0</v>
          </cell>
          <cell r="N500">
            <v>0</v>
          </cell>
          <cell r="O500">
            <v>1009252.8016873732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</row>
        <row r="501">
          <cell r="A501" t="str">
            <v>403362WYP</v>
          </cell>
          <cell r="B501">
            <v>403362</v>
          </cell>
          <cell r="C501" t="str">
            <v>WYP</v>
          </cell>
          <cell r="D501">
            <v>474895.38</v>
          </cell>
          <cell r="F501" t="str">
            <v>403362WYP</v>
          </cell>
          <cell r="G501">
            <v>403362</v>
          </cell>
          <cell r="H501" t="str">
            <v>WYP</v>
          </cell>
          <cell r="I501">
            <v>474895.38</v>
          </cell>
          <cell r="L501" t="str">
            <v>TPCAGE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</row>
        <row r="502">
          <cell r="A502" t="str">
            <v>403362WYU</v>
          </cell>
          <cell r="B502">
            <v>403362</v>
          </cell>
          <cell r="C502" t="str">
            <v>WYU</v>
          </cell>
          <cell r="D502">
            <v>368659.98</v>
          </cell>
          <cell r="F502" t="str">
            <v>403362WYU</v>
          </cell>
          <cell r="G502">
            <v>403362</v>
          </cell>
          <cell r="H502" t="str">
            <v>WYU</v>
          </cell>
          <cell r="I502">
            <v>368659.98</v>
          </cell>
          <cell r="L502" t="str">
            <v>TPCAGW</v>
          </cell>
          <cell r="M502">
            <v>0</v>
          </cell>
          <cell r="N502">
            <v>0</v>
          </cell>
          <cell r="O502">
            <v>-11350475.553340707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A503" t="str">
            <v>403364CA</v>
          </cell>
          <cell r="B503">
            <v>403364</v>
          </cell>
          <cell r="C503" t="str">
            <v>CA</v>
          </cell>
          <cell r="D503">
            <v>2617304.9500000002</v>
          </cell>
          <cell r="F503" t="str">
            <v>403364CA</v>
          </cell>
          <cell r="G503">
            <v>403364</v>
          </cell>
          <cell r="H503" t="str">
            <v>CA</v>
          </cell>
          <cell r="I503">
            <v>2617304.9500000002</v>
          </cell>
          <cell r="L503" t="str">
            <v>TPSG</v>
          </cell>
          <cell r="M503">
            <v>0</v>
          </cell>
          <cell r="N503">
            <v>0</v>
          </cell>
          <cell r="O503">
            <v>9171385.519795293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</row>
        <row r="504">
          <cell r="A504" t="str">
            <v>403364ID</v>
          </cell>
          <cell r="B504">
            <v>403364</v>
          </cell>
          <cell r="C504" t="str">
            <v>ID</v>
          </cell>
          <cell r="D504">
            <v>3272438.88</v>
          </cell>
          <cell r="F504" t="str">
            <v>403364ID</v>
          </cell>
          <cell r="G504">
            <v>403364</v>
          </cell>
          <cell r="H504" t="str">
            <v>ID</v>
          </cell>
          <cell r="I504">
            <v>3272438.88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</row>
        <row r="505">
          <cell r="A505" t="str">
            <v>403364OR</v>
          </cell>
          <cell r="B505">
            <v>403364</v>
          </cell>
          <cell r="C505" t="str">
            <v>OR</v>
          </cell>
          <cell r="D505">
            <v>12836209.460000001</v>
          </cell>
          <cell r="F505" t="str">
            <v>403364OR</v>
          </cell>
          <cell r="G505">
            <v>403364</v>
          </cell>
          <cell r="H505" t="str">
            <v>OR</v>
          </cell>
          <cell r="I505">
            <v>12836209.460000001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</row>
        <row r="506">
          <cell r="A506" t="str">
            <v>403364UT</v>
          </cell>
          <cell r="B506">
            <v>403364</v>
          </cell>
          <cell r="C506" t="str">
            <v>UT</v>
          </cell>
          <cell r="D506">
            <v>14114038.08</v>
          </cell>
          <cell r="F506" t="str">
            <v>403364UT</v>
          </cell>
          <cell r="G506">
            <v>403364</v>
          </cell>
          <cell r="H506" t="str">
            <v>UT</v>
          </cell>
          <cell r="I506">
            <v>14114038.08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</row>
        <row r="507">
          <cell r="A507" t="str">
            <v>403364WA</v>
          </cell>
          <cell r="B507">
            <v>403364</v>
          </cell>
          <cell r="C507" t="str">
            <v>WA</v>
          </cell>
          <cell r="D507">
            <v>3978567.06</v>
          </cell>
          <cell r="F507" t="str">
            <v>403364WA</v>
          </cell>
          <cell r="G507">
            <v>403364</v>
          </cell>
          <cell r="H507" t="str">
            <v>WA</v>
          </cell>
          <cell r="I507">
            <v>3978567.06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</row>
        <row r="508">
          <cell r="A508" t="str">
            <v>403364WYP</v>
          </cell>
          <cell r="B508">
            <v>403364</v>
          </cell>
          <cell r="C508" t="str">
            <v>WYP</v>
          </cell>
          <cell r="D508">
            <v>5325621.4400000004</v>
          </cell>
          <cell r="F508" t="str">
            <v>403364WYP</v>
          </cell>
          <cell r="G508">
            <v>403364</v>
          </cell>
          <cell r="H508" t="str">
            <v>WYP</v>
          </cell>
          <cell r="I508">
            <v>5325621.4400000004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</row>
        <row r="509">
          <cell r="A509" t="str">
            <v>403364WYU</v>
          </cell>
          <cell r="B509">
            <v>403364</v>
          </cell>
          <cell r="C509" t="str">
            <v>WYU</v>
          </cell>
          <cell r="D509">
            <v>1121520.3</v>
          </cell>
          <cell r="F509" t="str">
            <v>403364WYU</v>
          </cell>
          <cell r="G509">
            <v>403364</v>
          </cell>
          <cell r="H509" t="str">
            <v>WYU</v>
          </cell>
          <cell r="I509">
            <v>1121520.3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</row>
        <row r="510">
          <cell r="A510" t="str">
            <v>403365CA</v>
          </cell>
          <cell r="B510">
            <v>403365</v>
          </cell>
          <cell r="C510" t="str">
            <v>CA</v>
          </cell>
          <cell r="D510">
            <v>1118054.45</v>
          </cell>
          <cell r="F510" t="str">
            <v>403365CA</v>
          </cell>
          <cell r="G510">
            <v>403365</v>
          </cell>
          <cell r="H510" t="str">
            <v>CA</v>
          </cell>
          <cell r="I510">
            <v>1118054.45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A511" t="str">
            <v>403365ID</v>
          </cell>
          <cell r="B511">
            <v>403365</v>
          </cell>
          <cell r="C511" t="str">
            <v>ID</v>
          </cell>
          <cell r="D511">
            <v>974597.65</v>
          </cell>
          <cell r="F511" t="str">
            <v>403365ID</v>
          </cell>
          <cell r="G511">
            <v>403365</v>
          </cell>
          <cell r="H511" t="str">
            <v>ID</v>
          </cell>
          <cell r="I511">
            <v>974597.65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</row>
        <row r="512">
          <cell r="A512" t="str">
            <v>403365OR</v>
          </cell>
          <cell r="B512">
            <v>403365</v>
          </cell>
          <cell r="C512" t="str">
            <v>OR</v>
          </cell>
          <cell r="D512">
            <v>7071867.7000000002</v>
          </cell>
          <cell r="F512" t="str">
            <v>403365OR</v>
          </cell>
          <cell r="G512">
            <v>403365</v>
          </cell>
          <cell r="H512" t="str">
            <v>OR</v>
          </cell>
          <cell r="I512">
            <v>7071867.7000000002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</row>
        <row r="513">
          <cell r="A513" t="str">
            <v>403365UT</v>
          </cell>
          <cell r="B513">
            <v>403365</v>
          </cell>
          <cell r="C513" t="str">
            <v>UT</v>
          </cell>
          <cell r="D513">
            <v>6703034.1500000004</v>
          </cell>
          <cell r="F513" t="str">
            <v>403365UT</v>
          </cell>
          <cell r="G513">
            <v>403365</v>
          </cell>
          <cell r="H513" t="str">
            <v>UT</v>
          </cell>
          <cell r="I513">
            <v>6703034.1500000004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</row>
        <row r="514">
          <cell r="A514" t="str">
            <v>403365WA</v>
          </cell>
          <cell r="B514">
            <v>403365</v>
          </cell>
          <cell r="C514" t="str">
            <v>WA</v>
          </cell>
          <cell r="D514">
            <v>1850295.56</v>
          </cell>
          <cell r="F514" t="str">
            <v>403365WA</v>
          </cell>
          <cell r="G514">
            <v>403365</v>
          </cell>
          <cell r="H514" t="str">
            <v>WA</v>
          </cell>
          <cell r="I514">
            <v>1850295.56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 t="str">
            <v>403365WYP</v>
          </cell>
          <cell r="B515">
            <v>403365</v>
          </cell>
          <cell r="C515" t="str">
            <v>WYP</v>
          </cell>
          <cell r="D515">
            <v>2441462.8199999998</v>
          </cell>
          <cell r="F515" t="str">
            <v>403365WYP</v>
          </cell>
          <cell r="G515">
            <v>403365</v>
          </cell>
          <cell r="H515" t="str">
            <v>WYP</v>
          </cell>
          <cell r="I515">
            <v>2441462.8199999998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</row>
        <row r="516">
          <cell r="A516" t="str">
            <v>403365WYU</v>
          </cell>
          <cell r="B516">
            <v>403365</v>
          </cell>
          <cell r="C516" t="str">
            <v>WYU</v>
          </cell>
          <cell r="D516">
            <v>341471.88</v>
          </cell>
          <cell r="F516" t="str">
            <v>403365WYU</v>
          </cell>
          <cell r="G516">
            <v>403365</v>
          </cell>
          <cell r="H516" t="str">
            <v>WYU</v>
          </cell>
          <cell r="I516">
            <v>341471.88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</row>
        <row r="517">
          <cell r="A517" t="str">
            <v>403366CA</v>
          </cell>
          <cell r="B517">
            <v>403366</v>
          </cell>
          <cell r="C517" t="str">
            <v>CA</v>
          </cell>
          <cell r="D517">
            <v>540208.99</v>
          </cell>
          <cell r="F517" t="str">
            <v>403366CA</v>
          </cell>
          <cell r="G517">
            <v>403366</v>
          </cell>
          <cell r="H517" t="str">
            <v>CA</v>
          </cell>
          <cell r="I517">
            <v>540208.99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A518" t="str">
            <v>403366ID</v>
          </cell>
          <cell r="B518">
            <v>403366</v>
          </cell>
          <cell r="C518" t="str">
            <v>ID</v>
          </cell>
          <cell r="D518">
            <v>240495.45</v>
          </cell>
          <cell r="F518" t="str">
            <v>403366ID</v>
          </cell>
          <cell r="G518">
            <v>403366</v>
          </cell>
          <cell r="H518" t="str">
            <v>ID</v>
          </cell>
          <cell r="I518">
            <v>240495.45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</row>
        <row r="519">
          <cell r="A519" t="str">
            <v>403366OR</v>
          </cell>
          <cell r="B519">
            <v>403366</v>
          </cell>
          <cell r="C519" t="str">
            <v>OR</v>
          </cell>
          <cell r="D519">
            <v>1906326.2</v>
          </cell>
          <cell r="F519" t="str">
            <v>403366OR</v>
          </cell>
          <cell r="G519">
            <v>403366</v>
          </cell>
          <cell r="H519" t="str">
            <v>OR</v>
          </cell>
          <cell r="I519">
            <v>1906326.2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 t="str">
            <v>403366UT</v>
          </cell>
          <cell r="B520">
            <v>403366</v>
          </cell>
          <cell r="C520" t="str">
            <v>UT</v>
          </cell>
          <cell r="D520">
            <v>5213974.38</v>
          </cell>
          <cell r="F520" t="str">
            <v>403366UT</v>
          </cell>
          <cell r="G520">
            <v>403366</v>
          </cell>
          <cell r="H520" t="str">
            <v>UT</v>
          </cell>
          <cell r="I520">
            <v>5213974.38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A521" t="str">
            <v>403366WA</v>
          </cell>
          <cell r="B521">
            <v>403366</v>
          </cell>
          <cell r="C521" t="str">
            <v>WA</v>
          </cell>
          <cell r="D521">
            <v>531967.4</v>
          </cell>
          <cell r="F521" t="str">
            <v>403366WA</v>
          </cell>
          <cell r="G521">
            <v>403366</v>
          </cell>
          <cell r="H521" t="str">
            <v>WA</v>
          </cell>
          <cell r="I521">
            <v>531967.4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A522" t="str">
            <v>403366WYP</v>
          </cell>
          <cell r="B522">
            <v>403366</v>
          </cell>
          <cell r="C522" t="str">
            <v>WYP</v>
          </cell>
          <cell r="D522">
            <v>809526.57</v>
          </cell>
          <cell r="F522" t="str">
            <v>403366WYP</v>
          </cell>
          <cell r="G522">
            <v>403366</v>
          </cell>
          <cell r="H522" t="str">
            <v>WYP</v>
          </cell>
          <cell r="I522">
            <v>809526.57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A523" t="str">
            <v>403366WYU</v>
          </cell>
          <cell r="B523">
            <v>403366</v>
          </cell>
          <cell r="C523" t="str">
            <v>WYU</v>
          </cell>
          <cell r="D523">
            <v>166990.06</v>
          </cell>
          <cell r="F523" t="str">
            <v>403366WYU</v>
          </cell>
          <cell r="G523">
            <v>403366</v>
          </cell>
          <cell r="H523" t="str">
            <v>WYU</v>
          </cell>
          <cell r="I523">
            <v>166990.06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A524" t="str">
            <v>403367CA</v>
          </cell>
          <cell r="B524">
            <v>403367</v>
          </cell>
          <cell r="C524" t="str">
            <v>CA</v>
          </cell>
          <cell r="D524">
            <v>493491.73</v>
          </cell>
          <cell r="F524" t="str">
            <v>403367CA</v>
          </cell>
          <cell r="G524">
            <v>403367</v>
          </cell>
          <cell r="H524" t="str">
            <v>CA</v>
          </cell>
          <cell r="I524">
            <v>493491.73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 t="str">
            <v>403367ID</v>
          </cell>
          <cell r="B525">
            <v>403367</v>
          </cell>
          <cell r="C525" t="str">
            <v>ID</v>
          </cell>
          <cell r="D525">
            <v>656471.44999999995</v>
          </cell>
          <cell r="F525" t="str">
            <v>403367ID</v>
          </cell>
          <cell r="G525">
            <v>403367</v>
          </cell>
          <cell r="H525" t="str">
            <v>ID</v>
          </cell>
          <cell r="I525">
            <v>656471.44999999995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</row>
        <row r="526">
          <cell r="A526" t="str">
            <v>403367OR</v>
          </cell>
          <cell r="B526">
            <v>403367</v>
          </cell>
          <cell r="C526" t="str">
            <v>OR</v>
          </cell>
          <cell r="D526">
            <v>3968158.9</v>
          </cell>
          <cell r="F526" t="str">
            <v>403367OR</v>
          </cell>
          <cell r="G526">
            <v>403367</v>
          </cell>
          <cell r="H526" t="str">
            <v>OR</v>
          </cell>
          <cell r="I526">
            <v>3968158.9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 t="str">
            <v>403367UT</v>
          </cell>
          <cell r="B527">
            <v>403367</v>
          </cell>
          <cell r="C527" t="str">
            <v>UT</v>
          </cell>
          <cell r="D527">
            <v>14029260.33</v>
          </cell>
          <cell r="F527" t="str">
            <v>403367UT</v>
          </cell>
          <cell r="G527">
            <v>403367</v>
          </cell>
          <cell r="H527" t="str">
            <v>UT</v>
          </cell>
          <cell r="I527">
            <v>14029260.33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</row>
        <row r="528">
          <cell r="A528" t="str">
            <v>403367WA</v>
          </cell>
          <cell r="B528">
            <v>403367</v>
          </cell>
          <cell r="C528" t="str">
            <v>WA</v>
          </cell>
          <cell r="D528">
            <v>739821.79</v>
          </cell>
          <cell r="F528" t="str">
            <v>403367WA</v>
          </cell>
          <cell r="G528">
            <v>403367</v>
          </cell>
          <cell r="H528" t="str">
            <v>WA</v>
          </cell>
          <cell r="I528">
            <v>739821.79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A529" t="str">
            <v>403367WYP</v>
          </cell>
          <cell r="B529">
            <v>403367</v>
          </cell>
          <cell r="C529" t="str">
            <v>WYP</v>
          </cell>
          <cell r="D529">
            <v>1538182.53</v>
          </cell>
          <cell r="F529" t="str">
            <v>403367WYP</v>
          </cell>
          <cell r="G529">
            <v>403367</v>
          </cell>
          <cell r="H529" t="str">
            <v>WYP</v>
          </cell>
          <cell r="I529">
            <v>1538182.53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 t="str">
            <v>403367WYU</v>
          </cell>
          <cell r="B530">
            <v>403367</v>
          </cell>
          <cell r="C530" t="str">
            <v>WYU</v>
          </cell>
          <cell r="D530">
            <v>617820.43000000005</v>
          </cell>
          <cell r="F530" t="str">
            <v>403367WYU</v>
          </cell>
          <cell r="G530">
            <v>403367</v>
          </cell>
          <cell r="H530" t="str">
            <v>WYU</v>
          </cell>
          <cell r="I530">
            <v>617820.43000000005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A531" t="str">
            <v>403368CA</v>
          </cell>
          <cell r="B531">
            <v>403368</v>
          </cell>
          <cell r="C531" t="str">
            <v>CA</v>
          </cell>
          <cell r="D531">
            <v>1381556.67</v>
          </cell>
          <cell r="F531" t="str">
            <v>403368CA</v>
          </cell>
          <cell r="G531">
            <v>403368</v>
          </cell>
          <cell r="H531" t="str">
            <v>CA</v>
          </cell>
          <cell r="I531">
            <v>1381556.67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 t="str">
            <v>403368ID</v>
          </cell>
          <cell r="B532">
            <v>403368</v>
          </cell>
          <cell r="C532" t="str">
            <v>ID</v>
          </cell>
          <cell r="D532">
            <v>1944819.48</v>
          </cell>
          <cell r="F532" t="str">
            <v>403368ID</v>
          </cell>
          <cell r="G532">
            <v>403368</v>
          </cell>
          <cell r="H532" t="str">
            <v>ID</v>
          </cell>
          <cell r="I532">
            <v>1944819.48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A533" t="str">
            <v>403368OR</v>
          </cell>
          <cell r="B533">
            <v>403368</v>
          </cell>
          <cell r="C533" t="str">
            <v>OR</v>
          </cell>
          <cell r="D533">
            <v>11126560.82</v>
          </cell>
          <cell r="F533" t="str">
            <v>403368OR</v>
          </cell>
          <cell r="G533">
            <v>403368</v>
          </cell>
          <cell r="H533" t="str">
            <v>OR</v>
          </cell>
          <cell r="I533">
            <v>11126560.82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 t="str">
            <v>403368UT</v>
          </cell>
          <cell r="B534">
            <v>403368</v>
          </cell>
          <cell r="C534" t="str">
            <v>UT</v>
          </cell>
          <cell r="D534">
            <v>12772960.529999999</v>
          </cell>
          <cell r="F534" t="str">
            <v>403368UT</v>
          </cell>
          <cell r="G534">
            <v>403368</v>
          </cell>
          <cell r="H534" t="str">
            <v>UT</v>
          </cell>
          <cell r="I534">
            <v>12772960.529999999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</row>
        <row r="535">
          <cell r="A535" t="str">
            <v>403368WA</v>
          </cell>
          <cell r="B535">
            <v>403368</v>
          </cell>
          <cell r="C535" t="str">
            <v>WA</v>
          </cell>
          <cell r="D535">
            <v>3027231.49</v>
          </cell>
          <cell r="F535" t="str">
            <v>403368WA</v>
          </cell>
          <cell r="G535">
            <v>403368</v>
          </cell>
          <cell r="H535" t="str">
            <v>WA</v>
          </cell>
          <cell r="I535">
            <v>3027231.49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 t="str">
            <v>403368WYP</v>
          </cell>
          <cell r="B536">
            <v>403368</v>
          </cell>
          <cell r="C536" t="str">
            <v>WYP</v>
          </cell>
          <cell r="D536">
            <v>3484071.89</v>
          </cell>
          <cell r="F536" t="str">
            <v>403368WYP</v>
          </cell>
          <cell r="G536">
            <v>403368</v>
          </cell>
          <cell r="H536" t="str">
            <v>WYP</v>
          </cell>
          <cell r="I536">
            <v>3484071.89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A537" t="str">
            <v>403368WYU</v>
          </cell>
          <cell r="B537">
            <v>403368</v>
          </cell>
          <cell r="C537" t="str">
            <v>WYU</v>
          </cell>
          <cell r="D537">
            <v>493613.6</v>
          </cell>
          <cell r="F537" t="str">
            <v>403368WYU</v>
          </cell>
          <cell r="G537">
            <v>403368</v>
          </cell>
          <cell r="H537" t="str">
            <v>WYU</v>
          </cell>
          <cell r="I537">
            <v>493613.6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 t="str">
            <v>403369CA</v>
          </cell>
          <cell r="B538">
            <v>403369</v>
          </cell>
          <cell r="C538" t="str">
            <v>CA</v>
          </cell>
          <cell r="D538">
            <v>484888.74</v>
          </cell>
          <cell r="F538" t="str">
            <v>403369CA</v>
          </cell>
          <cell r="G538">
            <v>403369</v>
          </cell>
          <cell r="H538" t="str">
            <v>CA</v>
          </cell>
          <cell r="I538">
            <v>484888.74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</row>
        <row r="539">
          <cell r="A539" t="str">
            <v>403369ID</v>
          </cell>
          <cell r="B539">
            <v>403369</v>
          </cell>
          <cell r="C539" t="str">
            <v>ID</v>
          </cell>
          <cell r="D539">
            <v>966372.17</v>
          </cell>
          <cell r="F539" t="str">
            <v>403369ID</v>
          </cell>
          <cell r="G539">
            <v>403369</v>
          </cell>
          <cell r="H539" t="str">
            <v>ID</v>
          </cell>
          <cell r="I539">
            <v>966372.17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 t="str">
            <v>403369OR</v>
          </cell>
          <cell r="B540">
            <v>403369</v>
          </cell>
          <cell r="C540" t="str">
            <v>OR</v>
          </cell>
          <cell r="D540">
            <v>6776031.0899999999</v>
          </cell>
          <cell r="F540" t="str">
            <v>403369OR</v>
          </cell>
          <cell r="G540">
            <v>403369</v>
          </cell>
          <cell r="H540" t="str">
            <v>OR</v>
          </cell>
          <cell r="I540">
            <v>6776031.0899999999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A541" t="str">
            <v>403369UT</v>
          </cell>
          <cell r="B541">
            <v>403369</v>
          </cell>
          <cell r="C541" t="str">
            <v>UT</v>
          </cell>
          <cell r="D541">
            <v>7365207.6799999997</v>
          </cell>
          <cell r="F541" t="str">
            <v>403369UT</v>
          </cell>
          <cell r="G541">
            <v>403369</v>
          </cell>
          <cell r="H541" t="str">
            <v>UT</v>
          </cell>
          <cell r="I541">
            <v>7365207.6799999997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</row>
        <row r="542">
          <cell r="A542" t="str">
            <v>403369WA</v>
          </cell>
          <cell r="B542">
            <v>403369</v>
          </cell>
          <cell r="C542" t="str">
            <v>WA</v>
          </cell>
          <cell r="D542">
            <v>1642366.92</v>
          </cell>
          <cell r="F542" t="str">
            <v>403369WA</v>
          </cell>
          <cell r="G542">
            <v>403369</v>
          </cell>
          <cell r="H542" t="str">
            <v>WA</v>
          </cell>
          <cell r="I542">
            <v>1642366.92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A543" t="str">
            <v>403369WYP</v>
          </cell>
          <cell r="B543">
            <v>403369</v>
          </cell>
          <cell r="C543" t="str">
            <v>WYP</v>
          </cell>
          <cell r="D543">
            <v>1295165.07</v>
          </cell>
          <cell r="F543" t="str">
            <v>403369WYP</v>
          </cell>
          <cell r="G543">
            <v>403369</v>
          </cell>
          <cell r="H543" t="str">
            <v>WYP</v>
          </cell>
          <cell r="I543">
            <v>1295165.07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 t="str">
            <v>403369WYU</v>
          </cell>
          <cell r="B544">
            <v>403369</v>
          </cell>
          <cell r="C544" t="str">
            <v>WYU</v>
          </cell>
          <cell r="D544">
            <v>390089.98</v>
          </cell>
          <cell r="F544" t="str">
            <v>403369WYU</v>
          </cell>
          <cell r="G544">
            <v>403369</v>
          </cell>
          <cell r="H544" t="str">
            <v>WYU</v>
          </cell>
          <cell r="I544">
            <v>390089.98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A545" t="str">
            <v>403370CA</v>
          </cell>
          <cell r="B545">
            <v>403370</v>
          </cell>
          <cell r="C545" t="str">
            <v>CA</v>
          </cell>
          <cell r="D545">
            <v>317429.78000000003</v>
          </cell>
          <cell r="F545" t="str">
            <v>403370CA</v>
          </cell>
          <cell r="G545">
            <v>403370</v>
          </cell>
          <cell r="H545" t="str">
            <v>CA</v>
          </cell>
          <cell r="I545">
            <v>317429.78000000003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A546" t="str">
            <v>403370ID</v>
          </cell>
          <cell r="B546">
            <v>403370</v>
          </cell>
          <cell r="C546" t="str">
            <v>ID</v>
          </cell>
          <cell r="D546">
            <v>635854.87</v>
          </cell>
          <cell r="F546" t="str">
            <v>403370ID</v>
          </cell>
          <cell r="G546">
            <v>403370</v>
          </cell>
          <cell r="H546" t="str">
            <v>ID</v>
          </cell>
          <cell r="I546">
            <v>635854.87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 t="str">
            <v>403370OR</v>
          </cell>
          <cell r="B547">
            <v>403370</v>
          </cell>
          <cell r="C547" t="str">
            <v>OR</v>
          </cell>
          <cell r="D547">
            <v>3046879.12</v>
          </cell>
          <cell r="F547" t="str">
            <v>403370OR</v>
          </cell>
          <cell r="G547">
            <v>403370</v>
          </cell>
          <cell r="H547" t="str">
            <v>OR</v>
          </cell>
          <cell r="I547">
            <v>3046879.12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</row>
        <row r="548">
          <cell r="A548" t="str">
            <v>403370UT</v>
          </cell>
          <cell r="B548">
            <v>403370</v>
          </cell>
          <cell r="C548" t="str">
            <v>UT</v>
          </cell>
          <cell r="D548">
            <v>3526914.67</v>
          </cell>
          <cell r="F548" t="str">
            <v>403370UT</v>
          </cell>
          <cell r="G548">
            <v>403370</v>
          </cell>
          <cell r="H548" t="str">
            <v>UT</v>
          </cell>
          <cell r="I548">
            <v>3526914.67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 t="str">
            <v>403370WA</v>
          </cell>
          <cell r="B549">
            <v>403370</v>
          </cell>
          <cell r="C549" t="str">
            <v>WA</v>
          </cell>
          <cell r="D549">
            <v>515517.68</v>
          </cell>
          <cell r="F549" t="str">
            <v>403370WA</v>
          </cell>
          <cell r="G549">
            <v>403370</v>
          </cell>
          <cell r="H549" t="str">
            <v>WA</v>
          </cell>
          <cell r="I549">
            <v>515517.68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</row>
        <row r="550">
          <cell r="A550" t="str">
            <v>403370WYP</v>
          </cell>
          <cell r="B550">
            <v>403370</v>
          </cell>
          <cell r="C550" t="str">
            <v>WYP</v>
          </cell>
          <cell r="D550">
            <v>541673.97</v>
          </cell>
          <cell r="F550" t="str">
            <v>403370WYP</v>
          </cell>
          <cell r="G550">
            <v>403370</v>
          </cell>
          <cell r="H550" t="str">
            <v>WYP</v>
          </cell>
          <cell r="I550">
            <v>541673.97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</row>
        <row r="551">
          <cell r="A551" t="str">
            <v>403370WYU</v>
          </cell>
          <cell r="B551">
            <v>403370</v>
          </cell>
          <cell r="C551" t="str">
            <v>WYU</v>
          </cell>
          <cell r="D551">
            <v>97392.08</v>
          </cell>
          <cell r="F551" t="str">
            <v>403370WYU</v>
          </cell>
          <cell r="G551">
            <v>403370</v>
          </cell>
          <cell r="H551" t="str">
            <v>WYU</v>
          </cell>
          <cell r="I551">
            <v>97392.08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</row>
        <row r="552">
          <cell r="A552" t="str">
            <v>403371CA</v>
          </cell>
          <cell r="B552">
            <v>403371</v>
          </cell>
          <cell r="C552" t="str">
            <v>CA</v>
          </cell>
          <cell r="D552">
            <v>13378.25</v>
          </cell>
          <cell r="F552" t="str">
            <v>403371CA</v>
          </cell>
          <cell r="G552">
            <v>403371</v>
          </cell>
          <cell r="H552" t="str">
            <v>CA</v>
          </cell>
          <cell r="I552">
            <v>13378.25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 t="str">
            <v>403371ID</v>
          </cell>
          <cell r="B553">
            <v>403371</v>
          </cell>
          <cell r="C553" t="str">
            <v>ID</v>
          </cell>
          <cell r="D553">
            <v>9785.09</v>
          </cell>
          <cell r="F553" t="str">
            <v>403371ID</v>
          </cell>
          <cell r="G553">
            <v>403371</v>
          </cell>
          <cell r="H553" t="str">
            <v>ID</v>
          </cell>
          <cell r="I553">
            <v>9785.09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</row>
        <row r="554">
          <cell r="A554" t="str">
            <v>403371OR</v>
          </cell>
          <cell r="B554">
            <v>403371</v>
          </cell>
          <cell r="C554" t="str">
            <v>OR</v>
          </cell>
          <cell r="D554">
            <v>126330.3</v>
          </cell>
          <cell r="F554" t="str">
            <v>403371OR</v>
          </cell>
          <cell r="G554">
            <v>403371</v>
          </cell>
          <cell r="H554" t="str">
            <v>OR</v>
          </cell>
          <cell r="I554">
            <v>126330.3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 t="str">
            <v>403371UT</v>
          </cell>
          <cell r="B555">
            <v>403371</v>
          </cell>
          <cell r="C555" t="str">
            <v>UT</v>
          </cell>
          <cell r="D555">
            <v>270236.75</v>
          </cell>
          <cell r="F555" t="str">
            <v>403371UT</v>
          </cell>
          <cell r="G555">
            <v>403371</v>
          </cell>
          <cell r="H555" t="str">
            <v>UT</v>
          </cell>
          <cell r="I555">
            <v>270236.75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</row>
        <row r="556">
          <cell r="A556" t="str">
            <v>403371WA</v>
          </cell>
          <cell r="B556">
            <v>403371</v>
          </cell>
          <cell r="C556" t="str">
            <v>WA</v>
          </cell>
          <cell r="D556">
            <v>17748.509999999998</v>
          </cell>
          <cell r="F556" t="str">
            <v>403371WA</v>
          </cell>
          <cell r="G556">
            <v>403371</v>
          </cell>
          <cell r="H556" t="str">
            <v>WA</v>
          </cell>
          <cell r="I556">
            <v>17748.509999999998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 t="str">
            <v>403371WYP</v>
          </cell>
          <cell r="B557">
            <v>403371</v>
          </cell>
          <cell r="C557" t="str">
            <v>WYP</v>
          </cell>
          <cell r="D557">
            <v>49770.64</v>
          </cell>
          <cell r="F557" t="str">
            <v>403371WYP</v>
          </cell>
          <cell r="G557">
            <v>403371</v>
          </cell>
          <cell r="H557" t="str">
            <v>WYP</v>
          </cell>
          <cell r="I557">
            <v>49770.64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</row>
        <row r="558">
          <cell r="A558" t="str">
            <v>403371WYU</v>
          </cell>
          <cell r="B558">
            <v>403371</v>
          </cell>
          <cell r="C558" t="str">
            <v>WYU</v>
          </cell>
          <cell r="D558">
            <v>9451.06</v>
          </cell>
          <cell r="F558" t="str">
            <v>403371WYU</v>
          </cell>
          <cell r="G558">
            <v>403371</v>
          </cell>
          <cell r="H558" t="str">
            <v>WYU</v>
          </cell>
          <cell r="I558">
            <v>9451.06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 t="str">
            <v>403373CA</v>
          </cell>
          <cell r="B559">
            <v>403373</v>
          </cell>
          <cell r="C559" t="str">
            <v>CA</v>
          </cell>
          <cell r="D559">
            <v>23480.35</v>
          </cell>
          <cell r="F559" t="str">
            <v>403373CA</v>
          </cell>
          <cell r="G559">
            <v>403373</v>
          </cell>
          <cell r="H559" t="str">
            <v>CA</v>
          </cell>
          <cell r="I559">
            <v>23480.35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</row>
        <row r="560">
          <cell r="A560" t="str">
            <v>403373ID</v>
          </cell>
          <cell r="B560">
            <v>403373</v>
          </cell>
          <cell r="C560" t="str">
            <v>ID</v>
          </cell>
          <cell r="D560">
            <v>35374.86</v>
          </cell>
          <cell r="F560" t="str">
            <v>403373ID</v>
          </cell>
          <cell r="G560">
            <v>403373</v>
          </cell>
          <cell r="H560" t="str">
            <v>ID</v>
          </cell>
          <cell r="I560">
            <v>35374.86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 t="str">
            <v>403373OR</v>
          </cell>
          <cell r="B561">
            <v>403373</v>
          </cell>
          <cell r="C561" t="str">
            <v>OR</v>
          </cell>
          <cell r="D561">
            <v>698541.64</v>
          </cell>
          <cell r="F561" t="str">
            <v>403373OR</v>
          </cell>
          <cell r="G561">
            <v>403373</v>
          </cell>
          <cell r="H561" t="str">
            <v>OR</v>
          </cell>
          <cell r="I561">
            <v>698541.64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</row>
        <row r="562">
          <cell r="A562" t="str">
            <v>403373UT</v>
          </cell>
          <cell r="B562">
            <v>403373</v>
          </cell>
          <cell r="C562" t="str">
            <v>UT</v>
          </cell>
          <cell r="D562">
            <v>1041356.71</v>
          </cell>
          <cell r="F562" t="str">
            <v>403373UT</v>
          </cell>
          <cell r="G562">
            <v>403373</v>
          </cell>
          <cell r="H562" t="str">
            <v>UT</v>
          </cell>
          <cell r="I562">
            <v>1041356.71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 t="str">
            <v>403373WA</v>
          </cell>
          <cell r="B563">
            <v>403373</v>
          </cell>
          <cell r="C563" t="str">
            <v>WA</v>
          </cell>
          <cell r="D563">
            <v>125496.85</v>
          </cell>
          <cell r="F563" t="str">
            <v>403373WA</v>
          </cell>
          <cell r="G563">
            <v>403373</v>
          </cell>
          <cell r="H563" t="str">
            <v>WA</v>
          </cell>
          <cell r="I563">
            <v>125496.85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</row>
        <row r="564">
          <cell r="A564" t="str">
            <v>403373WYP</v>
          </cell>
          <cell r="B564">
            <v>403373</v>
          </cell>
          <cell r="C564" t="str">
            <v>WYP</v>
          </cell>
          <cell r="D564">
            <v>245566.67</v>
          </cell>
          <cell r="F564" t="str">
            <v>403373WYP</v>
          </cell>
          <cell r="G564">
            <v>403373</v>
          </cell>
          <cell r="H564" t="str">
            <v>WYP</v>
          </cell>
          <cell r="I564">
            <v>245566.67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5">
          <cell r="A565" t="str">
            <v>403373WYU</v>
          </cell>
          <cell r="B565">
            <v>403373</v>
          </cell>
          <cell r="C565" t="str">
            <v>WYU</v>
          </cell>
          <cell r="D565">
            <v>65568.14</v>
          </cell>
          <cell r="F565" t="str">
            <v>403373WYU</v>
          </cell>
          <cell r="G565">
            <v>403373</v>
          </cell>
          <cell r="H565" t="str">
            <v>WYU</v>
          </cell>
          <cell r="I565">
            <v>65568.14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</row>
        <row r="566">
          <cell r="A566" t="str">
            <v>403GPCA</v>
          </cell>
          <cell r="B566" t="str">
            <v>403GP</v>
          </cell>
          <cell r="C566" t="str">
            <v>CA</v>
          </cell>
          <cell r="D566">
            <v>402578.22</v>
          </cell>
          <cell r="F566" t="str">
            <v>403GPCA</v>
          </cell>
          <cell r="G566" t="str">
            <v>403GP</v>
          </cell>
          <cell r="H566" t="str">
            <v>CA</v>
          </cell>
          <cell r="I566">
            <v>402578.22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 t="str">
            <v>403GPCAEE</v>
          </cell>
          <cell r="B567" t="str">
            <v>403GP</v>
          </cell>
          <cell r="C567" t="str">
            <v>CAEE</v>
          </cell>
          <cell r="D567">
            <v>95328.48</v>
          </cell>
          <cell r="F567" t="str">
            <v>403GPCAEE</v>
          </cell>
          <cell r="G567" t="str">
            <v>403GP</v>
          </cell>
          <cell r="H567" t="str">
            <v>CAEE</v>
          </cell>
          <cell r="I567">
            <v>95328.48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</row>
        <row r="568">
          <cell r="A568" t="str">
            <v>403GPCAGE</v>
          </cell>
          <cell r="B568" t="str">
            <v>403GP</v>
          </cell>
          <cell r="C568" t="str">
            <v>CAGE</v>
          </cell>
          <cell r="D568">
            <v>6638364.9000000004</v>
          </cell>
          <cell r="F568" t="str">
            <v>403GPCAGE</v>
          </cell>
          <cell r="G568" t="str">
            <v>403GP</v>
          </cell>
          <cell r="H568" t="str">
            <v>CAGE</v>
          </cell>
          <cell r="I568">
            <v>6638364.9000000004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 t="str">
            <v>403GPCAGW</v>
          </cell>
          <cell r="B569" t="str">
            <v>403GP</v>
          </cell>
          <cell r="C569" t="str">
            <v>CAGW</v>
          </cell>
          <cell r="D569">
            <v>2887055.19</v>
          </cell>
          <cell r="F569" t="str">
            <v>403GPCAGW</v>
          </cell>
          <cell r="G569" t="str">
            <v>403GP</v>
          </cell>
          <cell r="H569" t="str">
            <v>CAGW</v>
          </cell>
          <cell r="I569">
            <v>2887055.19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</row>
        <row r="570">
          <cell r="A570" t="str">
            <v>403GPCN</v>
          </cell>
          <cell r="B570" t="str">
            <v>403GP</v>
          </cell>
          <cell r="C570" t="str">
            <v>CN</v>
          </cell>
          <cell r="D570">
            <v>1040345.44</v>
          </cell>
          <cell r="F570" t="str">
            <v>403GPCN</v>
          </cell>
          <cell r="G570" t="str">
            <v>403GP</v>
          </cell>
          <cell r="H570" t="str">
            <v>CN</v>
          </cell>
          <cell r="I570">
            <v>1040345.44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 t="str">
            <v>403GPID</v>
          </cell>
          <cell r="B571" t="str">
            <v>403GP</v>
          </cell>
          <cell r="C571" t="str">
            <v>ID</v>
          </cell>
          <cell r="D571">
            <v>919901.03</v>
          </cell>
          <cell r="F571" t="str">
            <v>403GPID</v>
          </cell>
          <cell r="G571" t="str">
            <v>403GP</v>
          </cell>
          <cell r="H571" t="str">
            <v>ID</v>
          </cell>
          <cell r="I571">
            <v>919901.03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A572" t="str">
            <v>403GPJBG</v>
          </cell>
          <cell r="B572" t="str">
            <v>403GP</v>
          </cell>
          <cell r="C572" t="str">
            <v>JBG</v>
          </cell>
          <cell r="D572">
            <v>435213.83</v>
          </cell>
          <cell r="F572" t="str">
            <v>403GPJBG</v>
          </cell>
          <cell r="G572" t="str">
            <v>403GP</v>
          </cell>
          <cell r="H572" t="str">
            <v>JBG</v>
          </cell>
          <cell r="I572">
            <v>435213.83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 t="str">
            <v>403GPOR</v>
          </cell>
          <cell r="B573" t="str">
            <v>403GP</v>
          </cell>
          <cell r="C573" t="str">
            <v>OR</v>
          </cell>
          <cell r="D573">
            <v>5078614.17</v>
          </cell>
          <cell r="F573" t="str">
            <v>403GPOR</v>
          </cell>
          <cell r="G573" t="str">
            <v>403GP</v>
          </cell>
          <cell r="H573" t="str">
            <v>OR</v>
          </cell>
          <cell r="I573">
            <v>5078614.17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A574" t="str">
            <v>403GPSG</v>
          </cell>
          <cell r="B574" t="str">
            <v>403GP</v>
          </cell>
          <cell r="C574" t="str">
            <v>SG</v>
          </cell>
          <cell r="D574">
            <v>1452.23</v>
          </cell>
          <cell r="F574" t="str">
            <v>403GPSG</v>
          </cell>
          <cell r="G574" t="str">
            <v>403GP</v>
          </cell>
          <cell r="H574" t="str">
            <v>SG</v>
          </cell>
          <cell r="I574">
            <v>1452.23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 t="str">
            <v>403GPSO</v>
          </cell>
          <cell r="B575" t="str">
            <v>403GP</v>
          </cell>
          <cell r="C575" t="str">
            <v>SO</v>
          </cell>
          <cell r="D575">
            <v>15567253.9</v>
          </cell>
          <cell r="F575" t="str">
            <v>403GPSO</v>
          </cell>
          <cell r="G575" t="str">
            <v>403GP</v>
          </cell>
          <cell r="H575" t="str">
            <v>SO</v>
          </cell>
          <cell r="I575">
            <v>15567253.9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A576" t="str">
            <v>403GPUT</v>
          </cell>
          <cell r="B576" t="str">
            <v>403GP</v>
          </cell>
          <cell r="C576" t="str">
            <v>UT</v>
          </cell>
          <cell r="D576">
            <v>4800293.32</v>
          </cell>
          <cell r="F576" t="str">
            <v>403GPUT</v>
          </cell>
          <cell r="G576" t="str">
            <v>403GP</v>
          </cell>
          <cell r="H576" t="str">
            <v>UT</v>
          </cell>
          <cell r="I576">
            <v>4800293.32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A577" t="str">
            <v>403GPWA</v>
          </cell>
          <cell r="B577" t="str">
            <v>403GP</v>
          </cell>
          <cell r="C577" t="str">
            <v>WA</v>
          </cell>
          <cell r="D577">
            <v>1153845.1599999999</v>
          </cell>
          <cell r="F577" t="str">
            <v>403GPWA</v>
          </cell>
          <cell r="G577" t="str">
            <v>403GP</v>
          </cell>
          <cell r="H577" t="str">
            <v>WA</v>
          </cell>
          <cell r="I577">
            <v>1153845.1599999999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 t="str">
            <v>403GPWYP</v>
          </cell>
          <cell r="B578" t="str">
            <v>403GP</v>
          </cell>
          <cell r="C578" t="str">
            <v>WYP</v>
          </cell>
          <cell r="D578">
            <v>1983010.63</v>
          </cell>
          <cell r="F578" t="str">
            <v>403GPWYP</v>
          </cell>
          <cell r="G578" t="str">
            <v>403GP</v>
          </cell>
          <cell r="H578" t="str">
            <v>WYP</v>
          </cell>
          <cell r="I578">
            <v>1983010.63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A579" t="str">
            <v>403GPWYU</v>
          </cell>
          <cell r="B579" t="str">
            <v>403GP</v>
          </cell>
          <cell r="C579" t="str">
            <v>WYU</v>
          </cell>
          <cell r="D579">
            <v>388207.77</v>
          </cell>
          <cell r="F579" t="str">
            <v>403GPWYU</v>
          </cell>
          <cell r="G579" t="str">
            <v>403GP</v>
          </cell>
          <cell r="H579" t="str">
            <v>WYU</v>
          </cell>
          <cell r="I579">
            <v>388207.77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</row>
        <row r="580">
          <cell r="A580" t="str">
            <v>403HPCAGE</v>
          </cell>
          <cell r="B580" t="str">
            <v>403HP</v>
          </cell>
          <cell r="C580" t="str">
            <v>CAGE</v>
          </cell>
          <cell r="D580">
            <v>7434215.8300000001</v>
          </cell>
          <cell r="F580" t="str">
            <v>403HPCAGE</v>
          </cell>
          <cell r="G580" t="str">
            <v>403HP</v>
          </cell>
          <cell r="H580" t="str">
            <v>CAGE</v>
          </cell>
          <cell r="I580">
            <v>7434215.8300000001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 t="str">
            <v>403HPCAGW</v>
          </cell>
          <cell r="B581" t="str">
            <v>403HP</v>
          </cell>
          <cell r="C581" t="str">
            <v>CAGW</v>
          </cell>
          <cell r="D581">
            <v>32495639.969999999</v>
          </cell>
          <cell r="F581" t="str">
            <v>403HPCAGW</v>
          </cell>
          <cell r="G581" t="str">
            <v>403HP</v>
          </cell>
          <cell r="H581" t="str">
            <v>CAGW</v>
          </cell>
          <cell r="I581">
            <v>32495639.969999999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</row>
        <row r="582">
          <cell r="A582" t="str">
            <v>403OPCAGE</v>
          </cell>
          <cell r="B582" t="str">
            <v>403OP</v>
          </cell>
          <cell r="C582" t="str">
            <v>CAGE</v>
          </cell>
          <cell r="D582">
            <v>87144034.829999998</v>
          </cell>
          <cell r="F582" t="str">
            <v>403OPCAGE</v>
          </cell>
          <cell r="G582" t="str">
            <v>403OP</v>
          </cell>
          <cell r="H582" t="str">
            <v>CAGE</v>
          </cell>
          <cell r="I582">
            <v>87144034.829999998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 t="str">
            <v>403OPCAGW</v>
          </cell>
          <cell r="B583" t="str">
            <v>403OP</v>
          </cell>
          <cell r="C583" t="str">
            <v>CAGW</v>
          </cell>
          <cell r="D583">
            <v>41310164.189999998</v>
          </cell>
          <cell r="F583" t="str">
            <v>403OPCAGW</v>
          </cell>
          <cell r="G583" t="str">
            <v>403OP</v>
          </cell>
          <cell r="H583" t="str">
            <v>CAGW</v>
          </cell>
          <cell r="I583">
            <v>41310164.189999998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</row>
        <row r="584">
          <cell r="A584" t="str">
            <v>403SPCAGE</v>
          </cell>
          <cell r="B584" t="str">
            <v>403SP</v>
          </cell>
          <cell r="C584" t="str">
            <v>CAGE</v>
          </cell>
          <cell r="D584">
            <v>200998873.40000001</v>
          </cell>
          <cell r="F584" t="str">
            <v>403SPCAGE</v>
          </cell>
          <cell r="G584" t="str">
            <v>403SP</v>
          </cell>
          <cell r="H584" t="str">
            <v>CAGE</v>
          </cell>
          <cell r="I584">
            <v>200998873.40000001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 t="str">
            <v>403SPCAGW</v>
          </cell>
          <cell r="B585" t="str">
            <v>403SP</v>
          </cell>
          <cell r="C585" t="str">
            <v>CAGW</v>
          </cell>
          <cell r="D585">
            <v>5128620.41</v>
          </cell>
          <cell r="F585" t="str">
            <v>403SPCAGW</v>
          </cell>
          <cell r="G585" t="str">
            <v>403SP</v>
          </cell>
          <cell r="H585" t="str">
            <v>CAGW</v>
          </cell>
          <cell r="I585">
            <v>5128620.41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A586" t="str">
            <v>403SPJBG</v>
          </cell>
          <cell r="B586" t="str">
            <v>403SP</v>
          </cell>
          <cell r="C586" t="str">
            <v>JBG</v>
          </cell>
          <cell r="D586">
            <v>39542493.649999999</v>
          </cell>
          <cell r="F586" t="str">
            <v>403SPJBG</v>
          </cell>
          <cell r="G586" t="str">
            <v>403SP</v>
          </cell>
          <cell r="H586" t="str">
            <v>JBG</v>
          </cell>
          <cell r="I586">
            <v>39542493.649999999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 t="str">
            <v>403TPCAGE</v>
          </cell>
          <cell r="B587" t="str">
            <v>403TP</v>
          </cell>
          <cell r="C587" t="str">
            <v>CAGE</v>
          </cell>
          <cell r="D587">
            <v>81451417.870000005</v>
          </cell>
          <cell r="F587" t="str">
            <v>403TPCAGE</v>
          </cell>
          <cell r="G587" t="str">
            <v>403TP</v>
          </cell>
          <cell r="H587" t="str">
            <v>CAGE</v>
          </cell>
          <cell r="I587">
            <v>81451417.870000005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</row>
        <row r="588">
          <cell r="A588" t="str">
            <v>403TPCAGW</v>
          </cell>
          <cell r="B588" t="str">
            <v>403TP</v>
          </cell>
          <cell r="C588" t="str">
            <v>CAGW</v>
          </cell>
          <cell r="D588">
            <v>26988243.629999999</v>
          </cell>
          <cell r="F588" t="str">
            <v>403TPCAGW</v>
          </cell>
          <cell r="G588" t="str">
            <v>403TP</v>
          </cell>
          <cell r="H588" t="str">
            <v>CAGW</v>
          </cell>
          <cell r="I588">
            <v>26988243.629999999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 t="str">
            <v>403TPJBG</v>
          </cell>
          <cell r="B589" t="str">
            <v>403TP</v>
          </cell>
          <cell r="C589" t="str">
            <v>JBG</v>
          </cell>
          <cell r="D589">
            <v>1364751.07</v>
          </cell>
          <cell r="F589" t="str">
            <v>403TPJBG</v>
          </cell>
          <cell r="G589" t="str">
            <v>403TP</v>
          </cell>
          <cell r="H589" t="str">
            <v>JBG</v>
          </cell>
          <cell r="I589">
            <v>1364751.07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A590" t="str">
            <v>403TPSG</v>
          </cell>
          <cell r="B590" t="str">
            <v>403TP</v>
          </cell>
          <cell r="C590" t="str">
            <v>SG</v>
          </cell>
          <cell r="D590">
            <v>32238</v>
          </cell>
          <cell r="F590" t="str">
            <v>403TPSG</v>
          </cell>
          <cell r="G590" t="str">
            <v>403TP</v>
          </cell>
          <cell r="H590" t="str">
            <v>SG</v>
          </cell>
          <cell r="I590">
            <v>32238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 t="str">
            <v>404GPCA</v>
          </cell>
          <cell r="B591" t="str">
            <v>404GP</v>
          </cell>
          <cell r="C591" t="str">
            <v>CA</v>
          </cell>
          <cell r="D591">
            <v>67061.990000000005</v>
          </cell>
          <cell r="F591" t="str">
            <v>404GPCA</v>
          </cell>
          <cell r="G591" t="str">
            <v>404GP</v>
          </cell>
          <cell r="H591" t="str">
            <v>CA</v>
          </cell>
          <cell r="I591">
            <v>67061.990000000005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A592" t="str">
            <v>404GPID</v>
          </cell>
          <cell r="B592" t="str">
            <v>404GP</v>
          </cell>
          <cell r="C592" t="str">
            <v>ID</v>
          </cell>
          <cell r="D592">
            <v>0</v>
          </cell>
          <cell r="F592" t="str">
            <v>404GPID</v>
          </cell>
          <cell r="G592" t="str">
            <v>404GP</v>
          </cell>
          <cell r="H592" t="str">
            <v>ID</v>
          </cell>
          <cell r="I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A593" t="str">
            <v>404GPOR</v>
          </cell>
          <cell r="B593" t="str">
            <v>404GP</v>
          </cell>
          <cell r="C593" t="str">
            <v>OR</v>
          </cell>
          <cell r="D593">
            <v>308163.25</v>
          </cell>
          <cell r="F593" t="str">
            <v>404GPOR</v>
          </cell>
          <cell r="G593" t="str">
            <v>404GP</v>
          </cell>
          <cell r="H593" t="str">
            <v>OR</v>
          </cell>
          <cell r="I593">
            <v>308163.25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 t="str">
            <v>404GPSO</v>
          </cell>
          <cell r="B594" t="str">
            <v>404GP</v>
          </cell>
          <cell r="C594" t="str">
            <v>SO</v>
          </cell>
          <cell r="D594">
            <v>289934.09000000003</v>
          </cell>
          <cell r="F594" t="str">
            <v>404GPSO</v>
          </cell>
          <cell r="G594" t="str">
            <v>404GP</v>
          </cell>
          <cell r="H594" t="str">
            <v>SO</v>
          </cell>
          <cell r="I594">
            <v>289934.09000000003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A595" t="str">
            <v>404GPUT</v>
          </cell>
          <cell r="B595" t="str">
            <v>404GP</v>
          </cell>
          <cell r="C595" t="str">
            <v>UT</v>
          </cell>
          <cell r="D595">
            <v>727.9</v>
          </cell>
          <cell r="F595" t="str">
            <v>404GPUT</v>
          </cell>
          <cell r="G595" t="str">
            <v>404GP</v>
          </cell>
          <cell r="H595" t="str">
            <v>UT</v>
          </cell>
          <cell r="I595">
            <v>727.9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 t="str">
            <v>404GPWA</v>
          </cell>
          <cell r="B596" t="str">
            <v>404GP</v>
          </cell>
          <cell r="C596" t="str">
            <v>WA</v>
          </cell>
          <cell r="D596">
            <v>82033.53</v>
          </cell>
          <cell r="F596" t="str">
            <v>404GPWA</v>
          </cell>
          <cell r="G596" t="str">
            <v>404GP</v>
          </cell>
          <cell r="H596" t="str">
            <v>WA</v>
          </cell>
          <cell r="I596">
            <v>82033.53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A597" t="str">
            <v>404GPWYP</v>
          </cell>
          <cell r="B597" t="str">
            <v>404GP</v>
          </cell>
          <cell r="C597" t="str">
            <v>WYP</v>
          </cell>
          <cell r="D597">
            <v>118537.86</v>
          </cell>
          <cell r="F597" t="str">
            <v>404GPWYP</v>
          </cell>
          <cell r="G597" t="str">
            <v>404GP</v>
          </cell>
          <cell r="H597" t="str">
            <v>WYP</v>
          </cell>
          <cell r="I597">
            <v>118537.86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 t="str">
            <v>404HPCAGW</v>
          </cell>
          <cell r="B598" t="str">
            <v>404HP</v>
          </cell>
          <cell r="C598" t="str">
            <v>CAGW</v>
          </cell>
          <cell r="D598">
            <v>311125.15000000002</v>
          </cell>
          <cell r="F598" t="str">
            <v>404HPCAGW</v>
          </cell>
          <cell r="G598" t="str">
            <v>404HP</v>
          </cell>
          <cell r="H598" t="str">
            <v>CAGW</v>
          </cell>
          <cell r="I598">
            <v>311125.15000000002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A599" t="str">
            <v>404IPCA</v>
          </cell>
          <cell r="B599" t="str">
            <v>404IP</v>
          </cell>
          <cell r="C599" t="str">
            <v>CA</v>
          </cell>
          <cell r="D599">
            <v>1765.21</v>
          </cell>
          <cell r="F599" t="str">
            <v>404IPCA</v>
          </cell>
          <cell r="G599" t="str">
            <v>404IP</v>
          </cell>
          <cell r="H599" t="str">
            <v>CA</v>
          </cell>
          <cell r="I599">
            <v>1765.21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 t="str">
            <v>404IPCAEE</v>
          </cell>
          <cell r="B600" t="str">
            <v>404IP</v>
          </cell>
          <cell r="C600" t="str">
            <v>CAEE</v>
          </cell>
          <cell r="D600">
            <v>1239.29</v>
          </cell>
          <cell r="F600" t="str">
            <v>404IPCAEE</v>
          </cell>
          <cell r="G600" t="str">
            <v>404IP</v>
          </cell>
          <cell r="H600" t="str">
            <v>CAEE</v>
          </cell>
          <cell r="I600">
            <v>1239.29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A601" t="str">
            <v>404IPCAGE</v>
          </cell>
          <cell r="B601" t="str">
            <v>404IP</v>
          </cell>
          <cell r="C601" t="str">
            <v>CAGE</v>
          </cell>
          <cell r="D601">
            <v>4471040.9800000004</v>
          </cell>
          <cell r="F601" t="str">
            <v>404IPCAGE</v>
          </cell>
          <cell r="G601" t="str">
            <v>404IP</v>
          </cell>
          <cell r="H601" t="str">
            <v>CAGE</v>
          </cell>
          <cell r="I601">
            <v>4471040.9800000004</v>
          </cell>
        </row>
        <row r="602">
          <cell r="A602" t="str">
            <v>404IPCAGW</v>
          </cell>
          <cell r="B602" t="str">
            <v>404IP</v>
          </cell>
          <cell r="C602" t="str">
            <v>CAGW</v>
          </cell>
          <cell r="D602">
            <v>13386378.82</v>
          </cell>
          <cell r="F602" t="str">
            <v>404IPCAGW</v>
          </cell>
          <cell r="G602" t="str">
            <v>404IP</v>
          </cell>
          <cell r="H602" t="str">
            <v>CAGW</v>
          </cell>
          <cell r="I602">
            <v>13386378.82</v>
          </cell>
        </row>
        <row r="603">
          <cell r="A603" t="str">
            <v>404IPCN</v>
          </cell>
          <cell r="B603" t="str">
            <v>404IP</v>
          </cell>
          <cell r="C603" t="str">
            <v>CN</v>
          </cell>
          <cell r="D603">
            <v>9726914.6400000006</v>
          </cell>
          <cell r="F603" t="str">
            <v>404IPCN</v>
          </cell>
          <cell r="G603" t="str">
            <v>404IP</v>
          </cell>
          <cell r="H603" t="str">
            <v>CN</v>
          </cell>
          <cell r="I603">
            <v>9726914.6400000006</v>
          </cell>
        </row>
        <row r="604">
          <cell r="A604" t="str">
            <v>404IPID</v>
          </cell>
          <cell r="B604" t="str">
            <v>404IP</v>
          </cell>
          <cell r="C604" t="str">
            <v>ID</v>
          </cell>
          <cell r="D604">
            <v>23041.53</v>
          </cell>
          <cell r="F604" t="str">
            <v>404IPID</v>
          </cell>
          <cell r="G604" t="str">
            <v>404IP</v>
          </cell>
          <cell r="H604" t="str">
            <v>ID</v>
          </cell>
          <cell r="I604">
            <v>23041.53</v>
          </cell>
        </row>
        <row r="605">
          <cell r="A605" t="str">
            <v>404IPJBG</v>
          </cell>
          <cell r="B605" t="str">
            <v>404IP</v>
          </cell>
          <cell r="C605" t="str">
            <v>JBG</v>
          </cell>
          <cell r="D605">
            <v>224239.95</v>
          </cell>
          <cell r="F605" t="str">
            <v>404IPJBG</v>
          </cell>
          <cell r="G605" t="str">
            <v>404IP</v>
          </cell>
          <cell r="H605" t="str">
            <v>JBG</v>
          </cell>
          <cell r="I605">
            <v>224239.95</v>
          </cell>
        </row>
        <row r="606">
          <cell r="A606" t="str">
            <v>404IPOR</v>
          </cell>
          <cell r="B606" t="str">
            <v>404IP</v>
          </cell>
          <cell r="C606" t="str">
            <v>OR</v>
          </cell>
          <cell r="D606">
            <v>10341.049999999999</v>
          </cell>
          <cell r="F606" t="str">
            <v>404IPOR</v>
          </cell>
          <cell r="G606" t="str">
            <v>404IP</v>
          </cell>
          <cell r="H606" t="str">
            <v>OR</v>
          </cell>
          <cell r="I606">
            <v>10341.049999999999</v>
          </cell>
        </row>
        <row r="607">
          <cell r="A607" t="str">
            <v>404IPOTHER</v>
          </cell>
          <cell r="B607" t="str">
            <v>404IP</v>
          </cell>
          <cell r="C607" t="str">
            <v>OTHER</v>
          </cell>
          <cell r="D607">
            <v>4252162.3499999996</v>
          </cell>
          <cell r="F607" t="str">
            <v>404IPOTHER</v>
          </cell>
          <cell r="G607" t="str">
            <v>404IP</v>
          </cell>
          <cell r="H607" t="str">
            <v>OTHER</v>
          </cell>
          <cell r="I607">
            <v>4252162.3499999996</v>
          </cell>
        </row>
        <row r="608">
          <cell r="A608" t="str">
            <v>404IPSG</v>
          </cell>
          <cell r="B608" t="str">
            <v>404IP</v>
          </cell>
          <cell r="C608" t="str">
            <v>SG</v>
          </cell>
          <cell r="D608">
            <v>7593453.7199999997</v>
          </cell>
          <cell r="F608" t="str">
            <v>404IPSG</v>
          </cell>
          <cell r="G608" t="str">
            <v>404IP</v>
          </cell>
          <cell r="H608" t="str">
            <v>SG</v>
          </cell>
          <cell r="I608">
            <v>7593453.7199999997</v>
          </cell>
        </row>
        <row r="609">
          <cell r="A609" t="str">
            <v>404IPSO</v>
          </cell>
          <cell r="B609" t="str">
            <v>404IP</v>
          </cell>
          <cell r="C609" t="str">
            <v>SO</v>
          </cell>
          <cell r="D609">
            <v>10992229.210000001</v>
          </cell>
          <cell r="F609" t="str">
            <v>404IPSO</v>
          </cell>
          <cell r="G609" t="str">
            <v>404IP</v>
          </cell>
          <cell r="H609" t="str">
            <v>SO</v>
          </cell>
          <cell r="I609">
            <v>10992229.210000001</v>
          </cell>
        </row>
        <row r="610">
          <cell r="A610" t="str">
            <v>404IPUT</v>
          </cell>
          <cell r="B610" t="str">
            <v>404IP</v>
          </cell>
          <cell r="C610" t="str">
            <v>UT</v>
          </cell>
          <cell r="D610">
            <v>-3576248.27</v>
          </cell>
          <cell r="F610" t="str">
            <v>404IPUT</v>
          </cell>
          <cell r="G610" t="str">
            <v>404IP</v>
          </cell>
          <cell r="H610" t="str">
            <v>UT</v>
          </cell>
          <cell r="I610">
            <v>-3576248.27</v>
          </cell>
        </row>
        <row r="611">
          <cell r="A611" t="str">
            <v>404IPWA</v>
          </cell>
          <cell r="B611" t="str">
            <v>404IP</v>
          </cell>
          <cell r="C611" t="str">
            <v>WA</v>
          </cell>
          <cell r="D611">
            <v>3023.6</v>
          </cell>
          <cell r="F611" t="str">
            <v>404IPWA</v>
          </cell>
          <cell r="G611" t="str">
            <v>404IP</v>
          </cell>
          <cell r="H611" t="str">
            <v>WA</v>
          </cell>
          <cell r="I611">
            <v>3023.6</v>
          </cell>
        </row>
        <row r="612">
          <cell r="A612" t="str">
            <v>404IPWYP</v>
          </cell>
          <cell r="B612" t="str">
            <v>404IP</v>
          </cell>
          <cell r="C612" t="str">
            <v>WYP</v>
          </cell>
          <cell r="D612">
            <v>107691.67</v>
          </cell>
          <cell r="F612" t="str">
            <v>404IPWYP</v>
          </cell>
          <cell r="G612" t="str">
            <v>404IP</v>
          </cell>
          <cell r="H612" t="str">
            <v>WYP</v>
          </cell>
          <cell r="I612">
            <v>107691.67</v>
          </cell>
        </row>
        <row r="613">
          <cell r="A613" t="str">
            <v>105CA</v>
          </cell>
          <cell r="B613">
            <v>105</v>
          </cell>
          <cell r="C613" t="str">
            <v>CA</v>
          </cell>
          <cell r="D613">
            <v>683317.99</v>
          </cell>
          <cell r="F613" t="str">
            <v>105CA</v>
          </cell>
          <cell r="G613">
            <v>105</v>
          </cell>
          <cell r="H613" t="str">
            <v>CA</v>
          </cell>
          <cell r="I613">
            <v>683317.99</v>
          </cell>
        </row>
        <row r="614">
          <cell r="A614" t="str">
            <v>105CAEE</v>
          </cell>
          <cell r="B614">
            <v>105</v>
          </cell>
          <cell r="C614" t="str">
            <v>CAEE</v>
          </cell>
          <cell r="D614">
            <v>0</v>
          </cell>
          <cell r="F614" t="str">
            <v>105CAEE</v>
          </cell>
          <cell r="G614">
            <v>105</v>
          </cell>
          <cell r="H614" t="str">
            <v>CAEE</v>
          </cell>
          <cell r="I614">
            <v>0</v>
          </cell>
        </row>
        <row r="615">
          <cell r="A615" t="str">
            <v>105CAGE</v>
          </cell>
          <cell r="B615">
            <v>105</v>
          </cell>
          <cell r="C615" t="str">
            <v>CAGE</v>
          </cell>
          <cell r="D615">
            <v>12418892.050000001</v>
          </cell>
          <cell r="F615" t="str">
            <v>105CAGE</v>
          </cell>
          <cell r="G615">
            <v>105</v>
          </cell>
          <cell r="H615" t="str">
            <v>CAGE</v>
          </cell>
          <cell r="I615">
            <v>12418892.050000001</v>
          </cell>
        </row>
        <row r="616">
          <cell r="A616" t="str">
            <v>105CAGW</v>
          </cell>
          <cell r="B616">
            <v>105</v>
          </cell>
          <cell r="C616" t="str">
            <v>CAGW</v>
          </cell>
          <cell r="D616">
            <v>161943.97</v>
          </cell>
          <cell r="F616" t="str">
            <v>105CAGW</v>
          </cell>
          <cell r="G616">
            <v>105</v>
          </cell>
          <cell r="H616" t="str">
            <v>CAGW</v>
          </cell>
          <cell r="I616">
            <v>161943.97</v>
          </cell>
        </row>
        <row r="617">
          <cell r="A617" t="str">
            <v>105OR</v>
          </cell>
          <cell r="B617">
            <v>105</v>
          </cell>
          <cell r="C617" t="str">
            <v>OR</v>
          </cell>
          <cell r="D617">
            <v>7335680.4962499999</v>
          </cell>
          <cell r="F617" t="str">
            <v>105OR</v>
          </cell>
          <cell r="G617">
            <v>105</v>
          </cell>
          <cell r="H617" t="str">
            <v>OR</v>
          </cell>
          <cell r="I617">
            <v>7335680.4962499999</v>
          </cell>
        </row>
        <row r="618">
          <cell r="A618" t="str">
            <v>105SE</v>
          </cell>
          <cell r="B618">
            <v>105</v>
          </cell>
          <cell r="C618" t="str">
            <v>SE</v>
          </cell>
          <cell r="D618">
            <v>0</v>
          </cell>
          <cell r="F618" t="str">
            <v>105SE</v>
          </cell>
          <cell r="G618">
            <v>105</v>
          </cell>
          <cell r="H618" t="str">
            <v>SE</v>
          </cell>
          <cell r="I618">
            <v>0</v>
          </cell>
        </row>
        <row r="619">
          <cell r="A619" t="str">
            <v>105UT</v>
          </cell>
          <cell r="B619">
            <v>105</v>
          </cell>
          <cell r="C619" t="str">
            <v>UT</v>
          </cell>
          <cell r="D619">
            <v>5730528.6500000004</v>
          </cell>
          <cell r="F619" t="str">
            <v>105UT</v>
          </cell>
          <cell r="G619">
            <v>105</v>
          </cell>
          <cell r="H619" t="str">
            <v>UT</v>
          </cell>
          <cell r="I619">
            <v>5730528.6500000004</v>
          </cell>
        </row>
        <row r="620">
          <cell r="A620" t="str">
            <v>105WYP</v>
          </cell>
          <cell r="B620">
            <v>105</v>
          </cell>
          <cell r="C620" t="str">
            <v>WYP</v>
          </cell>
          <cell r="D620">
            <v>600.72</v>
          </cell>
          <cell r="F620" t="str">
            <v>105WYP</v>
          </cell>
          <cell r="G620">
            <v>105</v>
          </cell>
          <cell r="H620" t="str">
            <v>WYP</v>
          </cell>
          <cell r="I620">
            <v>600.72</v>
          </cell>
        </row>
        <row r="621">
          <cell r="A621" t="str">
            <v>106SG</v>
          </cell>
          <cell r="B621">
            <v>106</v>
          </cell>
          <cell r="C621" t="str">
            <v>SG</v>
          </cell>
          <cell r="D621">
            <v>0</v>
          </cell>
          <cell r="F621" t="str">
            <v>106SG</v>
          </cell>
          <cell r="G621">
            <v>106</v>
          </cell>
          <cell r="H621" t="str">
            <v>SG</v>
          </cell>
          <cell r="I621">
            <v>0</v>
          </cell>
        </row>
        <row r="622">
          <cell r="A622" t="str">
            <v>114CAGE</v>
          </cell>
          <cell r="B622">
            <v>114</v>
          </cell>
          <cell r="C622" t="str">
            <v>CAGE</v>
          </cell>
          <cell r="D622">
            <v>143167970.74000001</v>
          </cell>
          <cell r="F622" t="str">
            <v>114CAGE</v>
          </cell>
          <cell r="G622">
            <v>114</v>
          </cell>
          <cell r="H622" t="str">
            <v>CAGE</v>
          </cell>
          <cell r="I622">
            <v>143167970.74000001</v>
          </cell>
        </row>
        <row r="623">
          <cell r="A623" t="str">
            <v>114UT</v>
          </cell>
          <cell r="B623">
            <v>114</v>
          </cell>
          <cell r="C623" t="str">
            <v>UT</v>
          </cell>
          <cell r="D623">
            <v>11763783.68</v>
          </cell>
          <cell r="F623" t="str">
            <v>114UT</v>
          </cell>
          <cell r="G623">
            <v>114</v>
          </cell>
          <cell r="H623" t="str">
            <v>UT</v>
          </cell>
          <cell r="I623">
            <v>11763783.68</v>
          </cell>
        </row>
        <row r="624">
          <cell r="A624" t="str">
            <v>115CAGE</v>
          </cell>
          <cell r="B624">
            <v>115</v>
          </cell>
          <cell r="C624" t="str">
            <v>CAGE</v>
          </cell>
          <cell r="D624">
            <v>-125934375.00125</v>
          </cell>
          <cell r="F624" t="str">
            <v>115CAGE</v>
          </cell>
          <cell r="G624">
            <v>115</v>
          </cell>
          <cell r="H624" t="str">
            <v>CAGE</v>
          </cell>
          <cell r="I624">
            <v>-125934375.00125</v>
          </cell>
        </row>
        <row r="625">
          <cell r="A625" t="str">
            <v>115UT</v>
          </cell>
          <cell r="B625">
            <v>115</v>
          </cell>
          <cell r="C625" t="str">
            <v>UT</v>
          </cell>
          <cell r="D625">
            <v>-1143452.6499999999</v>
          </cell>
          <cell r="F625" t="str">
            <v>115UT</v>
          </cell>
          <cell r="G625">
            <v>115</v>
          </cell>
          <cell r="H625" t="str">
            <v>UT</v>
          </cell>
          <cell r="I625">
            <v>-1143452.6499999999</v>
          </cell>
        </row>
        <row r="626">
          <cell r="A626" t="str">
            <v>124CA</v>
          </cell>
          <cell r="B626">
            <v>124</v>
          </cell>
          <cell r="C626" t="str">
            <v>CA</v>
          </cell>
          <cell r="D626">
            <v>26051.83</v>
          </cell>
          <cell r="F626" t="str">
            <v>124CA</v>
          </cell>
          <cell r="G626">
            <v>124</v>
          </cell>
          <cell r="H626" t="str">
            <v>CA</v>
          </cell>
          <cell r="I626">
            <v>26051.83</v>
          </cell>
        </row>
        <row r="627">
          <cell r="A627" t="str">
            <v>124ID</v>
          </cell>
          <cell r="B627">
            <v>124</v>
          </cell>
          <cell r="C627" t="str">
            <v>ID</v>
          </cell>
          <cell r="D627">
            <v>0</v>
          </cell>
          <cell r="F627" t="str">
            <v>124ID</v>
          </cell>
          <cell r="G627">
            <v>124</v>
          </cell>
          <cell r="H627" t="str">
            <v>ID</v>
          </cell>
          <cell r="I627">
            <v>0</v>
          </cell>
        </row>
        <row r="628">
          <cell r="A628" t="str">
            <v>124MT</v>
          </cell>
          <cell r="B628">
            <v>124</v>
          </cell>
          <cell r="C628" t="str">
            <v>MT</v>
          </cell>
          <cell r="D628">
            <v>0</v>
          </cell>
          <cell r="F628" t="str">
            <v>124MT</v>
          </cell>
          <cell r="G628">
            <v>124</v>
          </cell>
          <cell r="H628" t="str">
            <v>MT</v>
          </cell>
          <cell r="I628">
            <v>0</v>
          </cell>
        </row>
        <row r="629">
          <cell r="A629" t="str">
            <v>124OR</v>
          </cell>
          <cell r="B629">
            <v>124</v>
          </cell>
          <cell r="C629" t="str">
            <v>OR</v>
          </cell>
          <cell r="D629">
            <v>0.17</v>
          </cell>
          <cell r="F629" t="str">
            <v>124OR</v>
          </cell>
          <cell r="G629">
            <v>124</v>
          </cell>
          <cell r="H629" t="str">
            <v>OR</v>
          </cell>
          <cell r="I629">
            <v>0.17</v>
          </cell>
        </row>
        <row r="630">
          <cell r="A630" t="str">
            <v>124OTHER</v>
          </cell>
          <cell r="B630">
            <v>124</v>
          </cell>
          <cell r="C630" t="str">
            <v>OTHER</v>
          </cell>
          <cell r="D630">
            <v>778230.91374999995</v>
          </cell>
          <cell r="F630" t="str">
            <v>124OTHER</v>
          </cell>
          <cell r="G630">
            <v>124</v>
          </cell>
          <cell r="H630" t="str">
            <v>OTHER</v>
          </cell>
          <cell r="I630">
            <v>778230.91374999995</v>
          </cell>
        </row>
        <row r="631">
          <cell r="A631" t="str">
            <v>124SO</v>
          </cell>
          <cell r="B631">
            <v>124</v>
          </cell>
          <cell r="C631" t="str">
            <v>SO</v>
          </cell>
          <cell r="D631">
            <v>-5007.95</v>
          </cell>
          <cell r="F631" t="str">
            <v>124SO</v>
          </cell>
          <cell r="G631">
            <v>124</v>
          </cell>
          <cell r="H631" t="str">
            <v>SO</v>
          </cell>
          <cell r="I631">
            <v>-5007.95</v>
          </cell>
        </row>
        <row r="632">
          <cell r="A632" t="str">
            <v>124UT</v>
          </cell>
          <cell r="B632">
            <v>124</v>
          </cell>
          <cell r="C632" t="str">
            <v>UT</v>
          </cell>
          <cell r="D632">
            <v>8003.5079166666701</v>
          </cell>
          <cell r="F632" t="str">
            <v>124UT</v>
          </cell>
          <cell r="G632">
            <v>124</v>
          </cell>
          <cell r="H632" t="str">
            <v>UT</v>
          </cell>
          <cell r="I632">
            <v>8003.5079166666701</v>
          </cell>
        </row>
        <row r="633">
          <cell r="A633" t="str">
            <v>124WA</v>
          </cell>
          <cell r="B633">
            <v>124</v>
          </cell>
          <cell r="C633" t="str">
            <v>WA</v>
          </cell>
          <cell r="D633">
            <v>5428.2650000000003</v>
          </cell>
          <cell r="F633" t="str">
            <v>124WA</v>
          </cell>
          <cell r="G633">
            <v>124</v>
          </cell>
          <cell r="H633" t="str">
            <v>WA</v>
          </cell>
          <cell r="I633">
            <v>5428.2650000000003</v>
          </cell>
        </row>
        <row r="634">
          <cell r="A634" t="str">
            <v>124WYP</v>
          </cell>
          <cell r="B634">
            <v>124</v>
          </cell>
          <cell r="C634" t="str">
            <v>WYP</v>
          </cell>
          <cell r="D634">
            <v>0</v>
          </cell>
          <cell r="F634" t="str">
            <v>124WYP</v>
          </cell>
          <cell r="G634">
            <v>124</v>
          </cell>
          <cell r="H634" t="str">
            <v>WYP</v>
          </cell>
          <cell r="I634">
            <v>0</v>
          </cell>
        </row>
        <row r="635">
          <cell r="A635" t="str">
            <v>124WYU</v>
          </cell>
          <cell r="B635">
            <v>124</v>
          </cell>
          <cell r="C635" t="str">
            <v>WYU</v>
          </cell>
          <cell r="D635">
            <v>0</v>
          </cell>
          <cell r="F635" t="str">
            <v>124WYU</v>
          </cell>
          <cell r="G635">
            <v>124</v>
          </cell>
          <cell r="H635" t="str">
            <v>WYU</v>
          </cell>
          <cell r="I635">
            <v>0</v>
          </cell>
        </row>
        <row r="636">
          <cell r="A636" t="str">
            <v>151CAEE</v>
          </cell>
          <cell r="B636">
            <v>151</v>
          </cell>
          <cell r="C636" t="str">
            <v>CAEE</v>
          </cell>
          <cell r="D636">
            <v>157089240.99125001</v>
          </cell>
          <cell r="F636" t="str">
            <v>151CAEE</v>
          </cell>
          <cell r="G636">
            <v>151</v>
          </cell>
          <cell r="H636" t="str">
            <v>CAEE</v>
          </cell>
          <cell r="I636">
            <v>157089240.99125001</v>
          </cell>
        </row>
        <row r="637">
          <cell r="A637" t="str">
            <v>151CAEW</v>
          </cell>
          <cell r="B637">
            <v>151</v>
          </cell>
          <cell r="C637" t="str">
            <v>CAEW</v>
          </cell>
          <cell r="D637">
            <v>1733255.2254166701</v>
          </cell>
          <cell r="F637" t="str">
            <v>151CAEW</v>
          </cell>
          <cell r="G637">
            <v>151</v>
          </cell>
          <cell r="H637" t="str">
            <v>CAEW</v>
          </cell>
          <cell r="I637">
            <v>1733255.2254166701</v>
          </cell>
        </row>
        <row r="638">
          <cell r="A638" t="str">
            <v>151JBE</v>
          </cell>
          <cell r="B638">
            <v>151</v>
          </cell>
          <cell r="C638" t="str">
            <v>JBE</v>
          </cell>
          <cell r="D638">
            <v>23591300.679166701</v>
          </cell>
          <cell r="F638" t="str">
            <v>151JBE</v>
          </cell>
          <cell r="G638">
            <v>151</v>
          </cell>
          <cell r="H638" t="str">
            <v>JBE</v>
          </cell>
          <cell r="I638">
            <v>23591300.679166701</v>
          </cell>
        </row>
        <row r="639">
          <cell r="A639" t="str">
            <v>151SE</v>
          </cell>
          <cell r="B639">
            <v>151</v>
          </cell>
          <cell r="C639" t="str">
            <v>SE</v>
          </cell>
          <cell r="D639">
            <v>0</v>
          </cell>
          <cell r="F639" t="str">
            <v>151SE</v>
          </cell>
          <cell r="G639">
            <v>151</v>
          </cell>
          <cell r="H639" t="str">
            <v>SE</v>
          </cell>
          <cell r="I639">
            <v>0</v>
          </cell>
        </row>
        <row r="640">
          <cell r="A640" t="str">
            <v>154CA</v>
          </cell>
          <cell r="B640">
            <v>154</v>
          </cell>
          <cell r="C640" t="str">
            <v>CA</v>
          </cell>
          <cell r="D640">
            <v>1841193.855</v>
          </cell>
          <cell r="F640" t="str">
            <v>154CA</v>
          </cell>
          <cell r="G640">
            <v>154</v>
          </cell>
          <cell r="H640" t="str">
            <v>CA</v>
          </cell>
          <cell r="I640">
            <v>1841193.855</v>
          </cell>
        </row>
        <row r="641">
          <cell r="A641" t="str">
            <v>154CAEE</v>
          </cell>
          <cell r="B641">
            <v>154</v>
          </cell>
          <cell r="C641" t="str">
            <v>CAEE</v>
          </cell>
          <cell r="D641">
            <v>0</v>
          </cell>
          <cell r="F641" t="str">
            <v>154CAEE</v>
          </cell>
          <cell r="G641">
            <v>154</v>
          </cell>
          <cell r="H641" t="str">
            <v>CAEE</v>
          </cell>
          <cell r="I641">
            <v>0</v>
          </cell>
        </row>
        <row r="642">
          <cell r="A642" t="str">
            <v>154CAEW</v>
          </cell>
          <cell r="B642">
            <v>154</v>
          </cell>
          <cell r="C642" t="str">
            <v>CAEW</v>
          </cell>
          <cell r="D642">
            <v>0</v>
          </cell>
          <cell r="F642" t="str">
            <v>154CAEW</v>
          </cell>
          <cell r="G642">
            <v>154</v>
          </cell>
          <cell r="H642" t="str">
            <v>CAEW</v>
          </cell>
          <cell r="I642">
            <v>0</v>
          </cell>
        </row>
        <row r="643">
          <cell r="A643" t="str">
            <v>154CAGE</v>
          </cell>
          <cell r="B643">
            <v>154</v>
          </cell>
          <cell r="C643" t="str">
            <v>CAGE</v>
          </cell>
          <cell r="D643">
            <v>118931940.878333</v>
          </cell>
          <cell r="F643" t="str">
            <v>154CAGE</v>
          </cell>
          <cell r="G643">
            <v>154</v>
          </cell>
          <cell r="H643" t="str">
            <v>CAGE</v>
          </cell>
          <cell r="I643">
            <v>118931940.878333</v>
          </cell>
        </row>
        <row r="644">
          <cell r="A644" t="str">
            <v>154CAGW</v>
          </cell>
          <cell r="B644">
            <v>154</v>
          </cell>
          <cell r="C644" t="str">
            <v>CAGW</v>
          </cell>
          <cell r="D644">
            <v>7556111.6683333302</v>
          </cell>
          <cell r="F644" t="str">
            <v>154CAGW</v>
          </cell>
          <cell r="G644">
            <v>154</v>
          </cell>
          <cell r="H644" t="str">
            <v>CAGW</v>
          </cell>
          <cell r="I644">
            <v>7556111.6683333302</v>
          </cell>
        </row>
        <row r="645">
          <cell r="A645" t="str">
            <v>154ID</v>
          </cell>
          <cell r="B645">
            <v>154</v>
          </cell>
          <cell r="C645" t="str">
            <v>ID</v>
          </cell>
          <cell r="D645">
            <v>5719102.1004166696</v>
          </cell>
          <cell r="F645" t="str">
            <v>154ID</v>
          </cell>
          <cell r="G645">
            <v>154</v>
          </cell>
          <cell r="H645" t="str">
            <v>ID</v>
          </cell>
          <cell r="I645">
            <v>5719102.1004166696</v>
          </cell>
        </row>
        <row r="646">
          <cell r="A646" t="str">
            <v>154JBG</v>
          </cell>
          <cell r="B646">
            <v>154</v>
          </cell>
          <cell r="C646" t="str">
            <v>JBG</v>
          </cell>
          <cell r="D646">
            <v>4872296.8333333302</v>
          </cell>
          <cell r="F646" t="str">
            <v>154JBG</v>
          </cell>
          <cell r="G646">
            <v>154</v>
          </cell>
          <cell r="H646" t="str">
            <v>JBG</v>
          </cell>
          <cell r="I646">
            <v>4872296.8333333302</v>
          </cell>
        </row>
        <row r="647">
          <cell r="A647" t="str">
            <v>154OR</v>
          </cell>
          <cell r="B647">
            <v>154</v>
          </cell>
          <cell r="C647" t="str">
            <v>OR</v>
          </cell>
          <cell r="D647">
            <v>38230952.710000001</v>
          </cell>
          <cell r="F647" t="str">
            <v>154OR</v>
          </cell>
          <cell r="G647">
            <v>154</v>
          </cell>
          <cell r="H647" t="str">
            <v>OR</v>
          </cell>
          <cell r="I647">
            <v>38230952.710000001</v>
          </cell>
        </row>
        <row r="648">
          <cell r="A648" t="str">
            <v>154SG</v>
          </cell>
          <cell r="B648">
            <v>154</v>
          </cell>
          <cell r="C648" t="str">
            <v>SG</v>
          </cell>
          <cell r="D648">
            <v>421795.70541666698</v>
          </cell>
          <cell r="F648" t="str">
            <v>154SG</v>
          </cell>
          <cell r="G648">
            <v>154</v>
          </cell>
          <cell r="H648" t="str">
            <v>SG</v>
          </cell>
          <cell r="I648">
            <v>421795.70541666698</v>
          </cell>
        </row>
        <row r="649">
          <cell r="A649" t="str">
            <v>154SNPD</v>
          </cell>
          <cell r="B649">
            <v>154</v>
          </cell>
          <cell r="C649" t="str">
            <v>SNPD</v>
          </cell>
          <cell r="D649">
            <v>-1708132.04333333</v>
          </cell>
          <cell r="F649" t="str">
            <v>154SNPD</v>
          </cell>
          <cell r="G649">
            <v>154</v>
          </cell>
          <cell r="H649" t="str">
            <v>SNPD</v>
          </cell>
          <cell r="I649">
            <v>-1708132.04333333</v>
          </cell>
        </row>
        <row r="650">
          <cell r="A650" t="str">
            <v>154SNPPS</v>
          </cell>
          <cell r="B650">
            <v>154</v>
          </cell>
          <cell r="C650" t="str">
            <v>SNPPS</v>
          </cell>
          <cell r="D650">
            <v>0</v>
          </cell>
          <cell r="F650" t="str">
            <v>154SNPPS</v>
          </cell>
          <cell r="G650">
            <v>154</v>
          </cell>
          <cell r="H650" t="str">
            <v>SNPPS</v>
          </cell>
          <cell r="I650">
            <v>0</v>
          </cell>
        </row>
        <row r="651">
          <cell r="A651" t="str">
            <v>154SO</v>
          </cell>
          <cell r="B651">
            <v>154</v>
          </cell>
          <cell r="C651" t="str">
            <v>SO</v>
          </cell>
          <cell r="D651">
            <v>140741.82</v>
          </cell>
          <cell r="F651" t="str">
            <v>154SO</v>
          </cell>
          <cell r="G651">
            <v>154</v>
          </cell>
          <cell r="H651" t="str">
            <v>SO</v>
          </cell>
          <cell r="I651">
            <v>140741.82</v>
          </cell>
        </row>
        <row r="652">
          <cell r="A652" t="str">
            <v>154UT</v>
          </cell>
          <cell r="B652">
            <v>154</v>
          </cell>
          <cell r="C652" t="str">
            <v>UT</v>
          </cell>
          <cell r="D652">
            <v>48557561.449583299</v>
          </cell>
          <cell r="F652" t="str">
            <v>154UT</v>
          </cell>
          <cell r="G652">
            <v>154</v>
          </cell>
          <cell r="H652" t="str">
            <v>UT</v>
          </cell>
          <cell r="I652">
            <v>48557561.449583299</v>
          </cell>
        </row>
        <row r="653">
          <cell r="A653" t="str">
            <v>154WA</v>
          </cell>
          <cell r="B653">
            <v>154</v>
          </cell>
          <cell r="C653" t="str">
            <v>WA</v>
          </cell>
          <cell r="D653">
            <v>6204807.2320833299</v>
          </cell>
          <cell r="F653" t="str">
            <v>154WA</v>
          </cell>
          <cell r="G653">
            <v>154</v>
          </cell>
          <cell r="H653" t="str">
            <v>WA</v>
          </cell>
          <cell r="I653">
            <v>6204807.2320833299</v>
          </cell>
        </row>
        <row r="654">
          <cell r="A654" t="str">
            <v>154WYP</v>
          </cell>
          <cell r="B654">
            <v>154</v>
          </cell>
          <cell r="C654" t="str">
            <v>WYP</v>
          </cell>
          <cell r="D654">
            <v>10645053.9883333</v>
          </cell>
          <cell r="F654" t="str">
            <v>154WYP</v>
          </cell>
          <cell r="G654">
            <v>154</v>
          </cell>
          <cell r="H654" t="str">
            <v>WYP</v>
          </cell>
          <cell r="I654">
            <v>10645053.9883333</v>
          </cell>
        </row>
        <row r="655">
          <cell r="A655" t="str">
            <v>154WYU</v>
          </cell>
          <cell r="B655">
            <v>154</v>
          </cell>
          <cell r="C655" t="str">
            <v>WYU</v>
          </cell>
          <cell r="D655">
            <v>1234934.52208333</v>
          </cell>
          <cell r="F655" t="str">
            <v>154WYU</v>
          </cell>
          <cell r="G655">
            <v>154</v>
          </cell>
          <cell r="H655" t="str">
            <v>WYU</v>
          </cell>
          <cell r="I655">
            <v>1234934.52208333</v>
          </cell>
        </row>
        <row r="656">
          <cell r="A656" t="str">
            <v>163SO</v>
          </cell>
          <cell r="B656">
            <v>163</v>
          </cell>
          <cell r="C656" t="str">
            <v>SO</v>
          </cell>
          <cell r="D656">
            <v>0</v>
          </cell>
          <cell r="F656" t="str">
            <v>163SO</v>
          </cell>
          <cell r="G656">
            <v>163</v>
          </cell>
          <cell r="H656" t="str">
            <v>SO</v>
          </cell>
          <cell r="I656">
            <v>0</v>
          </cell>
        </row>
        <row r="657">
          <cell r="A657" t="str">
            <v>165CAEE</v>
          </cell>
          <cell r="B657">
            <v>165</v>
          </cell>
          <cell r="C657" t="str">
            <v>CAEE</v>
          </cell>
          <cell r="D657">
            <v>-11001.36</v>
          </cell>
          <cell r="F657" t="str">
            <v>165CAEE</v>
          </cell>
          <cell r="G657">
            <v>165</v>
          </cell>
          <cell r="H657" t="str">
            <v>CAEE</v>
          </cell>
          <cell r="I657">
            <v>-11001.36</v>
          </cell>
        </row>
        <row r="658">
          <cell r="A658" t="str">
            <v>165CAEW</v>
          </cell>
          <cell r="B658">
            <v>165</v>
          </cell>
          <cell r="C658" t="str">
            <v>CAEW</v>
          </cell>
          <cell r="D658">
            <v>4054.84</v>
          </cell>
          <cell r="F658" t="str">
            <v>165CAEW</v>
          </cell>
          <cell r="G658">
            <v>165</v>
          </cell>
          <cell r="H658" t="str">
            <v>CAEW</v>
          </cell>
          <cell r="I658">
            <v>4054.84</v>
          </cell>
        </row>
        <row r="659">
          <cell r="A659" t="str">
            <v>165CAGE</v>
          </cell>
          <cell r="B659">
            <v>165</v>
          </cell>
          <cell r="C659" t="str">
            <v>CAGE</v>
          </cell>
          <cell r="D659">
            <v>1095446.9350000001</v>
          </cell>
          <cell r="F659" t="str">
            <v>165CAGE</v>
          </cell>
          <cell r="G659">
            <v>165</v>
          </cell>
          <cell r="H659" t="str">
            <v>CAGE</v>
          </cell>
          <cell r="I659">
            <v>1095446.9350000001</v>
          </cell>
        </row>
        <row r="660">
          <cell r="A660" t="str">
            <v>165CAGW</v>
          </cell>
          <cell r="B660">
            <v>165</v>
          </cell>
          <cell r="C660" t="str">
            <v>CAGW</v>
          </cell>
          <cell r="D660">
            <v>1018234.82791667</v>
          </cell>
          <cell r="F660" t="str">
            <v>165CAGW</v>
          </cell>
          <cell r="G660">
            <v>165</v>
          </cell>
          <cell r="H660" t="str">
            <v>CAGW</v>
          </cell>
          <cell r="I660">
            <v>1018234.82791667</v>
          </cell>
        </row>
        <row r="661">
          <cell r="A661" t="str">
            <v>165GPS</v>
          </cell>
          <cell r="B661">
            <v>165</v>
          </cell>
          <cell r="C661" t="str">
            <v>GPS</v>
          </cell>
          <cell r="D661">
            <v>5172309.0212500002</v>
          </cell>
          <cell r="F661" t="str">
            <v>165GPS</v>
          </cell>
          <cell r="G661">
            <v>165</v>
          </cell>
          <cell r="H661" t="str">
            <v>GPS</v>
          </cell>
          <cell r="I661">
            <v>5172309.0212500002</v>
          </cell>
        </row>
        <row r="662">
          <cell r="A662" t="str">
            <v>165ID</v>
          </cell>
          <cell r="B662">
            <v>165</v>
          </cell>
          <cell r="C662" t="str">
            <v>ID</v>
          </cell>
          <cell r="D662">
            <v>246375.88333333301</v>
          </cell>
          <cell r="F662" t="str">
            <v>165ID</v>
          </cell>
          <cell r="G662">
            <v>165</v>
          </cell>
          <cell r="H662" t="str">
            <v>ID</v>
          </cell>
          <cell r="I662">
            <v>246375.88333333301</v>
          </cell>
        </row>
        <row r="663">
          <cell r="A663" t="str">
            <v>165OR</v>
          </cell>
          <cell r="B663">
            <v>165</v>
          </cell>
          <cell r="C663" t="str">
            <v>OR</v>
          </cell>
          <cell r="D663">
            <v>2251368.3916666699</v>
          </cell>
          <cell r="F663" t="str">
            <v>165OR</v>
          </cell>
          <cell r="G663">
            <v>165</v>
          </cell>
          <cell r="H663" t="str">
            <v>OR</v>
          </cell>
          <cell r="I663">
            <v>2251368.3916666699</v>
          </cell>
        </row>
        <row r="664">
          <cell r="A664" t="str">
            <v>165OTHER</v>
          </cell>
          <cell r="B664">
            <v>165</v>
          </cell>
          <cell r="C664" t="str">
            <v>OTHER</v>
          </cell>
          <cell r="D664">
            <v>15910643.887083299</v>
          </cell>
          <cell r="F664" t="str">
            <v>165OTHER</v>
          </cell>
          <cell r="G664">
            <v>165</v>
          </cell>
          <cell r="H664" t="str">
            <v>OTHER</v>
          </cell>
          <cell r="I664">
            <v>15910643.887083299</v>
          </cell>
        </row>
        <row r="665">
          <cell r="A665" t="str">
            <v>165SG</v>
          </cell>
          <cell r="B665">
            <v>165</v>
          </cell>
          <cell r="C665" t="str">
            <v>SG</v>
          </cell>
          <cell r="D665">
            <v>1176717.53083333</v>
          </cell>
          <cell r="F665" t="str">
            <v>165SG</v>
          </cell>
          <cell r="G665">
            <v>165</v>
          </cell>
          <cell r="H665" t="str">
            <v>SG</v>
          </cell>
          <cell r="I665">
            <v>1176717.53083333</v>
          </cell>
        </row>
        <row r="666">
          <cell r="A666" t="str">
            <v>165SO</v>
          </cell>
          <cell r="B666">
            <v>165</v>
          </cell>
          <cell r="C666" t="str">
            <v>SO</v>
          </cell>
          <cell r="D666">
            <v>20504403.180833299</v>
          </cell>
          <cell r="F666" t="str">
            <v>165SO</v>
          </cell>
          <cell r="G666">
            <v>165</v>
          </cell>
          <cell r="H666" t="str">
            <v>SO</v>
          </cell>
          <cell r="I666">
            <v>20504403.180833299</v>
          </cell>
        </row>
        <row r="667">
          <cell r="A667" t="str">
            <v>165UT</v>
          </cell>
          <cell r="B667">
            <v>165</v>
          </cell>
          <cell r="C667" t="str">
            <v>UT</v>
          </cell>
          <cell r="D667">
            <v>3398562.3108333298</v>
          </cell>
          <cell r="F667" t="str">
            <v>165UT</v>
          </cell>
          <cell r="G667">
            <v>165</v>
          </cell>
          <cell r="H667" t="str">
            <v>UT</v>
          </cell>
          <cell r="I667">
            <v>3398562.3108333298</v>
          </cell>
        </row>
        <row r="668">
          <cell r="A668" t="str">
            <v>165WA</v>
          </cell>
          <cell r="B668">
            <v>165</v>
          </cell>
          <cell r="C668" t="str">
            <v>WA</v>
          </cell>
          <cell r="D668">
            <v>0</v>
          </cell>
          <cell r="F668" t="str">
            <v>165WA</v>
          </cell>
          <cell r="G668">
            <v>165</v>
          </cell>
          <cell r="H668" t="str">
            <v>WA</v>
          </cell>
          <cell r="I668">
            <v>0</v>
          </cell>
        </row>
        <row r="669">
          <cell r="A669" t="str">
            <v>165WYP</v>
          </cell>
          <cell r="B669">
            <v>165</v>
          </cell>
          <cell r="C669" t="str">
            <v>WYP</v>
          </cell>
          <cell r="D669">
            <v>128294.618333333</v>
          </cell>
          <cell r="F669" t="str">
            <v>165WYP</v>
          </cell>
          <cell r="G669">
            <v>165</v>
          </cell>
          <cell r="H669" t="str">
            <v>WYP</v>
          </cell>
          <cell r="I669">
            <v>128294.618333333</v>
          </cell>
        </row>
        <row r="670">
          <cell r="A670" t="str">
            <v>165WYU</v>
          </cell>
          <cell r="B670">
            <v>165</v>
          </cell>
          <cell r="C670" t="str">
            <v>WYU</v>
          </cell>
          <cell r="D670">
            <v>0</v>
          </cell>
          <cell r="F670" t="str">
            <v>165WYU</v>
          </cell>
          <cell r="G670">
            <v>165</v>
          </cell>
          <cell r="H670" t="str">
            <v>WYU</v>
          </cell>
          <cell r="I670">
            <v>0</v>
          </cell>
        </row>
        <row r="671">
          <cell r="A671" t="str">
            <v>190BADDEBT</v>
          </cell>
          <cell r="B671">
            <v>190</v>
          </cell>
          <cell r="C671" t="str">
            <v>BADDEBT</v>
          </cell>
          <cell r="D671">
            <v>2538677.1087500001</v>
          </cell>
          <cell r="F671" t="str">
            <v>190BADDEBT</v>
          </cell>
          <cell r="G671">
            <v>190</v>
          </cell>
          <cell r="H671" t="str">
            <v>BADDEBT</v>
          </cell>
          <cell r="I671">
            <v>2538677.1087500001</v>
          </cell>
        </row>
        <row r="672">
          <cell r="A672" t="str">
            <v>190CA</v>
          </cell>
          <cell r="B672">
            <v>190</v>
          </cell>
          <cell r="C672" t="str">
            <v>CA</v>
          </cell>
          <cell r="D672">
            <v>413809.26666666701</v>
          </cell>
          <cell r="F672" t="str">
            <v>190CA</v>
          </cell>
          <cell r="G672">
            <v>190</v>
          </cell>
          <cell r="H672" t="str">
            <v>CA</v>
          </cell>
          <cell r="I672">
            <v>413809.26666666701</v>
          </cell>
        </row>
        <row r="673">
          <cell r="A673" t="str">
            <v>190CAEE</v>
          </cell>
          <cell r="B673">
            <v>190</v>
          </cell>
          <cell r="C673" t="str">
            <v>CAEE</v>
          </cell>
          <cell r="D673">
            <v>32121161.876249999</v>
          </cell>
          <cell r="F673" t="str">
            <v>190CAEE</v>
          </cell>
          <cell r="G673">
            <v>190</v>
          </cell>
          <cell r="H673" t="str">
            <v>CAEE</v>
          </cell>
          <cell r="I673">
            <v>32121161.876249999</v>
          </cell>
        </row>
        <row r="674">
          <cell r="A674" t="str">
            <v>190CAEW</v>
          </cell>
          <cell r="B674">
            <v>190</v>
          </cell>
          <cell r="C674" t="str">
            <v>CAEW</v>
          </cell>
          <cell r="D674">
            <v>0</v>
          </cell>
          <cell r="F674" t="str">
            <v>190CAEW</v>
          </cell>
          <cell r="G674">
            <v>190</v>
          </cell>
          <cell r="H674" t="str">
            <v>CAEW</v>
          </cell>
          <cell r="I674">
            <v>0</v>
          </cell>
        </row>
        <row r="675">
          <cell r="A675" t="str">
            <v>190CAGE</v>
          </cell>
          <cell r="B675">
            <v>190</v>
          </cell>
          <cell r="C675" t="str">
            <v>CAGE</v>
          </cell>
          <cell r="D675">
            <v>-8.208329975605011E-2</v>
          </cell>
          <cell r="F675" t="str">
            <v>190CAGE</v>
          </cell>
          <cell r="G675">
            <v>190</v>
          </cell>
          <cell r="H675" t="str">
            <v>CAGE</v>
          </cell>
          <cell r="I675">
            <v>-8.208329975605011E-2</v>
          </cell>
        </row>
        <row r="676">
          <cell r="A676" t="str">
            <v>190CAGW</v>
          </cell>
          <cell r="B676">
            <v>190</v>
          </cell>
          <cell r="C676" t="str">
            <v>CAGW</v>
          </cell>
          <cell r="D676">
            <v>140598.51291666701</v>
          </cell>
          <cell r="F676" t="str">
            <v>190CAGW</v>
          </cell>
          <cell r="G676">
            <v>190</v>
          </cell>
          <cell r="H676" t="str">
            <v>CAGW</v>
          </cell>
          <cell r="I676">
            <v>140598.51291666701</v>
          </cell>
        </row>
        <row r="677">
          <cell r="A677" t="str">
            <v>190FERC</v>
          </cell>
          <cell r="B677">
            <v>190</v>
          </cell>
          <cell r="C677" t="str">
            <v>FERC</v>
          </cell>
          <cell r="D677">
            <v>4333.6691666666702</v>
          </cell>
          <cell r="F677" t="str">
            <v>190FERC</v>
          </cell>
          <cell r="G677">
            <v>190</v>
          </cell>
          <cell r="H677" t="str">
            <v>FERC</v>
          </cell>
          <cell r="I677">
            <v>4333.6691666666702</v>
          </cell>
        </row>
        <row r="678">
          <cell r="A678" t="str">
            <v>190ID</v>
          </cell>
          <cell r="B678">
            <v>190</v>
          </cell>
          <cell r="C678" t="str">
            <v>ID</v>
          </cell>
          <cell r="D678">
            <v>964747.71708333294</v>
          </cell>
          <cell r="F678" t="str">
            <v>190ID</v>
          </cell>
          <cell r="G678">
            <v>190</v>
          </cell>
          <cell r="H678" t="str">
            <v>ID</v>
          </cell>
          <cell r="I678">
            <v>964747.71708333294</v>
          </cell>
        </row>
        <row r="679">
          <cell r="A679" t="str">
            <v>190JBE</v>
          </cell>
          <cell r="B679">
            <v>190</v>
          </cell>
          <cell r="C679" t="str">
            <v>JBE</v>
          </cell>
          <cell r="D679">
            <v>-12366937.8066667</v>
          </cell>
          <cell r="F679" t="str">
            <v>190JBE</v>
          </cell>
          <cell r="G679">
            <v>190</v>
          </cell>
          <cell r="H679" t="str">
            <v>JBE</v>
          </cell>
          <cell r="I679">
            <v>-12366937.8066667</v>
          </cell>
        </row>
        <row r="680">
          <cell r="A680" t="str">
            <v>190MT</v>
          </cell>
          <cell r="B680">
            <v>190</v>
          </cell>
          <cell r="C680" t="str">
            <v>MT</v>
          </cell>
          <cell r="D680">
            <v>0</v>
          </cell>
          <cell r="F680" t="str">
            <v>190MT</v>
          </cell>
          <cell r="G680">
            <v>190</v>
          </cell>
          <cell r="H680" t="str">
            <v>MT</v>
          </cell>
          <cell r="I680">
            <v>0</v>
          </cell>
        </row>
        <row r="681">
          <cell r="A681" t="str">
            <v>190OR</v>
          </cell>
          <cell r="B681">
            <v>190</v>
          </cell>
          <cell r="C681" t="str">
            <v>OR</v>
          </cell>
          <cell r="D681">
            <v>7468269.1299999999</v>
          </cell>
          <cell r="F681" t="str">
            <v>190OR</v>
          </cell>
          <cell r="G681">
            <v>190</v>
          </cell>
          <cell r="H681" t="str">
            <v>OR</v>
          </cell>
          <cell r="I681">
            <v>7468269.1299999999</v>
          </cell>
        </row>
        <row r="682">
          <cell r="A682" t="str">
            <v>190OTHER</v>
          </cell>
          <cell r="B682">
            <v>190</v>
          </cell>
          <cell r="C682" t="str">
            <v>OTHER</v>
          </cell>
          <cell r="D682">
            <v>51185327.469583303</v>
          </cell>
          <cell r="F682" t="str">
            <v>190OTHER</v>
          </cell>
          <cell r="G682">
            <v>190</v>
          </cell>
          <cell r="H682" t="str">
            <v>OTHER</v>
          </cell>
          <cell r="I682">
            <v>51185327.469583303</v>
          </cell>
        </row>
        <row r="683">
          <cell r="A683" t="str">
            <v>190SE</v>
          </cell>
          <cell r="B683">
            <v>190</v>
          </cell>
          <cell r="C683" t="str">
            <v>SE</v>
          </cell>
          <cell r="D683">
            <v>0</v>
          </cell>
          <cell r="F683" t="str">
            <v>190SE</v>
          </cell>
          <cell r="G683">
            <v>190</v>
          </cell>
          <cell r="H683" t="str">
            <v>SE</v>
          </cell>
          <cell r="I683">
            <v>0</v>
          </cell>
        </row>
        <row r="684">
          <cell r="A684" t="str">
            <v>190SG</v>
          </cell>
          <cell r="B684">
            <v>190</v>
          </cell>
          <cell r="C684" t="str">
            <v>SG</v>
          </cell>
          <cell r="D684">
            <v>7634357.0458333297</v>
          </cell>
          <cell r="F684" t="str">
            <v>190SG</v>
          </cell>
          <cell r="G684">
            <v>190</v>
          </cell>
          <cell r="H684" t="str">
            <v>SG</v>
          </cell>
          <cell r="I684">
            <v>7634357.0458333297</v>
          </cell>
        </row>
        <row r="685">
          <cell r="A685" t="str">
            <v>190SNP</v>
          </cell>
          <cell r="B685">
            <v>190</v>
          </cell>
          <cell r="C685" t="str">
            <v>SNP</v>
          </cell>
          <cell r="D685">
            <v>0</v>
          </cell>
          <cell r="F685" t="str">
            <v>190SNP</v>
          </cell>
          <cell r="G685">
            <v>190</v>
          </cell>
          <cell r="H685" t="str">
            <v>SNP</v>
          </cell>
          <cell r="I685">
            <v>0</v>
          </cell>
        </row>
        <row r="686">
          <cell r="A686" t="str">
            <v>190SNPD</v>
          </cell>
          <cell r="B686">
            <v>190</v>
          </cell>
          <cell r="C686" t="str">
            <v>SNPD</v>
          </cell>
          <cell r="D686">
            <v>1360918.6504166699</v>
          </cell>
          <cell r="F686" t="str">
            <v>190SNPD</v>
          </cell>
          <cell r="G686">
            <v>190</v>
          </cell>
          <cell r="H686" t="str">
            <v>SNPD</v>
          </cell>
          <cell r="I686">
            <v>1360918.6504166699</v>
          </cell>
        </row>
        <row r="687">
          <cell r="A687" t="str">
            <v>190SO</v>
          </cell>
          <cell r="B687">
            <v>190</v>
          </cell>
          <cell r="C687" t="str">
            <v>SO</v>
          </cell>
          <cell r="D687">
            <v>27605915.364166699</v>
          </cell>
          <cell r="F687" t="str">
            <v>190SO</v>
          </cell>
          <cell r="G687">
            <v>190</v>
          </cell>
          <cell r="H687" t="str">
            <v>SO</v>
          </cell>
          <cell r="I687">
            <v>27605915.364166699</v>
          </cell>
        </row>
        <row r="688">
          <cell r="A688" t="str">
            <v>190TROJD</v>
          </cell>
          <cell r="B688">
            <v>190</v>
          </cell>
          <cell r="C688" t="str">
            <v>TROJD</v>
          </cell>
          <cell r="D688">
            <v>0</v>
          </cell>
          <cell r="F688" t="str">
            <v>190TROJD</v>
          </cell>
          <cell r="G688">
            <v>190</v>
          </cell>
          <cell r="H688" t="str">
            <v>TROJD</v>
          </cell>
          <cell r="I688">
            <v>0</v>
          </cell>
        </row>
        <row r="689">
          <cell r="A689" t="str">
            <v>190UT</v>
          </cell>
          <cell r="B689">
            <v>190</v>
          </cell>
          <cell r="C689" t="str">
            <v>UT</v>
          </cell>
          <cell r="D689">
            <v>7943524.3766666697</v>
          </cell>
          <cell r="F689" t="str">
            <v>190UT</v>
          </cell>
          <cell r="G689">
            <v>190</v>
          </cell>
          <cell r="H689" t="str">
            <v>UT</v>
          </cell>
          <cell r="I689">
            <v>7943524.3766666697</v>
          </cell>
        </row>
        <row r="690">
          <cell r="A690" t="str">
            <v>190WA</v>
          </cell>
          <cell r="B690">
            <v>190</v>
          </cell>
          <cell r="C690" t="str">
            <v>WA</v>
          </cell>
          <cell r="D690">
            <v>7523901.5999999996</v>
          </cell>
          <cell r="F690" t="str">
            <v>190WA</v>
          </cell>
          <cell r="G690">
            <v>190</v>
          </cell>
          <cell r="H690" t="str">
            <v>WA</v>
          </cell>
          <cell r="I690">
            <v>7523901.5999999996</v>
          </cell>
        </row>
        <row r="691">
          <cell r="A691" t="str">
            <v>190WYP</v>
          </cell>
          <cell r="B691">
            <v>190</v>
          </cell>
          <cell r="C691" t="str">
            <v>WYP</v>
          </cell>
          <cell r="D691">
            <v>189593.562916667</v>
          </cell>
          <cell r="F691" t="str">
            <v>190WYP</v>
          </cell>
          <cell r="G691">
            <v>190</v>
          </cell>
          <cell r="H691" t="str">
            <v>WYP</v>
          </cell>
          <cell r="I691">
            <v>189593.562916667</v>
          </cell>
        </row>
        <row r="692">
          <cell r="A692" t="str">
            <v>190WYU</v>
          </cell>
          <cell r="B692">
            <v>190</v>
          </cell>
          <cell r="C692" t="str">
            <v>WYU</v>
          </cell>
          <cell r="D692">
            <v>3864163.7145833299</v>
          </cell>
          <cell r="F692" t="str">
            <v>190WYU</v>
          </cell>
          <cell r="G692">
            <v>190</v>
          </cell>
          <cell r="H692" t="str">
            <v>WYU</v>
          </cell>
          <cell r="I692">
            <v>3864163.7145833299</v>
          </cell>
        </row>
        <row r="693">
          <cell r="A693" t="str">
            <v>252CA</v>
          </cell>
          <cell r="B693">
            <v>252</v>
          </cell>
          <cell r="C693" t="str">
            <v>CA</v>
          </cell>
          <cell r="D693">
            <v>0</v>
          </cell>
          <cell r="F693" t="str">
            <v>252CA</v>
          </cell>
          <cell r="G693">
            <v>252</v>
          </cell>
          <cell r="H693" t="str">
            <v>CA</v>
          </cell>
          <cell r="I693">
            <v>0</v>
          </cell>
        </row>
        <row r="694">
          <cell r="A694" t="str">
            <v>252CAGE</v>
          </cell>
          <cell r="B694">
            <v>252</v>
          </cell>
          <cell r="C694" t="str">
            <v>CAGE</v>
          </cell>
          <cell r="D694">
            <v>-57139583.170833297</v>
          </cell>
          <cell r="F694" t="str">
            <v>252CAGE</v>
          </cell>
          <cell r="G694">
            <v>252</v>
          </cell>
          <cell r="H694" t="str">
            <v>CAGE</v>
          </cell>
          <cell r="I694">
            <v>-57139583.170833297</v>
          </cell>
        </row>
        <row r="695">
          <cell r="A695" t="str">
            <v>252CAGW</v>
          </cell>
          <cell r="B695">
            <v>252</v>
          </cell>
          <cell r="C695" t="str">
            <v>CAGW</v>
          </cell>
          <cell r="D695">
            <v>0</v>
          </cell>
          <cell r="F695" t="str">
            <v>252CAGW</v>
          </cell>
          <cell r="G695">
            <v>252</v>
          </cell>
          <cell r="H695" t="str">
            <v>CAGW</v>
          </cell>
          <cell r="I695">
            <v>0</v>
          </cell>
        </row>
        <row r="696">
          <cell r="A696" t="str">
            <v>252CN</v>
          </cell>
          <cell r="B696">
            <v>252</v>
          </cell>
          <cell r="C696" t="str">
            <v>CN</v>
          </cell>
          <cell r="D696">
            <v>0</v>
          </cell>
          <cell r="F696" t="str">
            <v>252CN</v>
          </cell>
          <cell r="G696">
            <v>252</v>
          </cell>
          <cell r="H696" t="str">
            <v>CN</v>
          </cell>
          <cell r="I696">
            <v>0</v>
          </cell>
        </row>
        <row r="697">
          <cell r="A697" t="str">
            <v>252ID</v>
          </cell>
          <cell r="B697">
            <v>252</v>
          </cell>
          <cell r="C697" t="str">
            <v>ID</v>
          </cell>
          <cell r="D697">
            <v>0</v>
          </cell>
          <cell r="F697" t="str">
            <v>252ID</v>
          </cell>
          <cell r="G697">
            <v>252</v>
          </cell>
          <cell r="H697" t="str">
            <v>ID</v>
          </cell>
          <cell r="I697">
            <v>0</v>
          </cell>
        </row>
        <row r="698">
          <cell r="A698" t="str">
            <v>252OR</v>
          </cell>
          <cell r="B698">
            <v>252</v>
          </cell>
          <cell r="C698" t="str">
            <v>OR</v>
          </cell>
          <cell r="D698">
            <v>-1763949.43583333</v>
          </cell>
          <cell r="F698" t="str">
            <v>252OR</v>
          </cell>
          <cell r="G698">
            <v>252</v>
          </cell>
          <cell r="H698" t="str">
            <v>OR</v>
          </cell>
          <cell r="I698">
            <v>-1763949.43583333</v>
          </cell>
        </row>
        <row r="699">
          <cell r="A699" t="str">
            <v>252SG</v>
          </cell>
          <cell r="B699">
            <v>252</v>
          </cell>
          <cell r="C699" t="str">
            <v>SG</v>
          </cell>
          <cell r="D699">
            <v>322408.98</v>
          </cell>
          <cell r="F699" t="str">
            <v>252SG</v>
          </cell>
          <cell r="G699">
            <v>252</v>
          </cell>
          <cell r="H699" t="str">
            <v>SG</v>
          </cell>
          <cell r="I699">
            <v>322408.98</v>
          </cell>
        </row>
        <row r="700">
          <cell r="A700" t="str">
            <v>252UT</v>
          </cell>
          <cell r="B700">
            <v>252</v>
          </cell>
          <cell r="C700" t="str">
            <v>UT</v>
          </cell>
          <cell r="D700">
            <v>-1076999.01958333</v>
          </cell>
          <cell r="F700" t="str">
            <v>252UT</v>
          </cell>
          <cell r="G700">
            <v>252</v>
          </cell>
          <cell r="H700" t="str">
            <v>UT</v>
          </cell>
          <cell r="I700">
            <v>-1076999.01958333</v>
          </cell>
        </row>
        <row r="701">
          <cell r="A701" t="str">
            <v>252WA</v>
          </cell>
          <cell r="B701">
            <v>252</v>
          </cell>
          <cell r="C701" t="str">
            <v>WA</v>
          </cell>
          <cell r="D701">
            <v>-2968.75</v>
          </cell>
          <cell r="F701" t="str">
            <v>252WA</v>
          </cell>
          <cell r="G701">
            <v>252</v>
          </cell>
          <cell r="H701" t="str">
            <v>WA</v>
          </cell>
          <cell r="I701">
            <v>-2968.75</v>
          </cell>
        </row>
        <row r="702">
          <cell r="A702" t="str">
            <v>252WYP</v>
          </cell>
          <cell r="B702">
            <v>252</v>
          </cell>
          <cell r="C702" t="str">
            <v>WYP</v>
          </cell>
          <cell r="D702">
            <v>0</v>
          </cell>
          <cell r="F702" t="str">
            <v>252WYP</v>
          </cell>
          <cell r="G702">
            <v>252</v>
          </cell>
          <cell r="H702" t="str">
            <v>WYP</v>
          </cell>
          <cell r="I702">
            <v>0</v>
          </cell>
        </row>
        <row r="703">
          <cell r="A703" t="str">
            <v>252WYU</v>
          </cell>
          <cell r="B703">
            <v>252</v>
          </cell>
          <cell r="C703" t="str">
            <v>WYU</v>
          </cell>
          <cell r="D703">
            <v>0</v>
          </cell>
          <cell r="F703" t="str">
            <v>252WYU</v>
          </cell>
          <cell r="G703">
            <v>252</v>
          </cell>
          <cell r="H703" t="str">
            <v>WYU</v>
          </cell>
          <cell r="I703">
            <v>0</v>
          </cell>
        </row>
        <row r="704">
          <cell r="A704" t="str">
            <v>254CA</v>
          </cell>
          <cell r="B704">
            <v>254</v>
          </cell>
          <cell r="C704" t="str">
            <v>CA</v>
          </cell>
          <cell r="D704">
            <v>-1683068.42916667</v>
          </cell>
          <cell r="F704" t="str">
            <v>254CA</v>
          </cell>
          <cell r="G704">
            <v>254</v>
          </cell>
          <cell r="H704" t="str">
            <v>CA</v>
          </cell>
          <cell r="I704">
            <v>-1683068.42916667</v>
          </cell>
        </row>
        <row r="705">
          <cell r="A705" t="str">
            <v>254FERC</v>
          </cell>
          <cell r="B705">
            <v>254</v>
          </cell>
          <cell r="C705" t="str">
            <v>FERC</v>
          </cell>
          <cell r="D705">
            <v>-17625.39</v>
          </cell>
          <cell r="F705" t="str">
            <v>254FERC</v>
          </cell>
          <cell r="G705">
            <v>254</v>
          </cell>
          <cell r="H705" t="str">
            <v>FERC</v>
          </cell>
          <cell r="I705">
            <v>-17625.39</v>
          </cell>
        </row>
        <row r="706">
          <cell r="A706" t="str">
            <v>254ID</v>
          </cell>
          <cell r="B706">
            <v>254</v>
          </cell>
          <cell r="C706" t="str">
            <v>ID</v>
          </cell>
          <cell r="D706">
            <v>-3147711.7537500001</v>
          </cell>
          <cell r="F706" t="str">
            <v>254ID</v>
          </cell>
          <cell r="G706">
            <v>254</v>
          </cell>
          <cell r="H706" t="str">
            <v>ID</v>
          </cell>
          <cell r="I706">
            <v>-3147711.7537500001</v>
          </cell>
        </row>
        <row r="707">
          <cell r="A707" t="str">
            <v>254OR</v>
          </cell>
          <cell r="B707">
            <v>254</v>
          </cell>
          <cell r="C707" t="str">
            <v>OR</v>
          </cell>
          <cell r="D707">
            <v>-22496188.796250001</v>
          </cell>
          <cell r="F707" t="str">
            <v>254OR</v>
          </cell>
          <cell r="G707">
            <v>254</v>
          </cell>
          <cell r="H707" t="str">
            <v>OR</v>
          </cell>
          <cell r="I707">
            <v>-22496188.796250001</v>
          </cell>
        </row>
        <row r="708">
          <cell r="A708" t="str">
            <v>254OTHER</v>
          </cell>
          <cell r="B708">
            <v>254</v>
          </cell>
          <cell r="C708" t="str">
            <v>OTHER</v>
          </cell>
          <cell r="D708">
            <v>-205112466.7525</v>
          </cell>
          <cell r="F708" t="str">
            <v>254OTHER</v>
          </cell>
          <cell r="G708">
            <v>254</v>
          </cell>
          <cell r="H708" t="str">
            <v>OTHER</v>
          </cell>
          <cell r="I708">
            <v>-205112466.7525</v>
          </cell>
        </row>
        <row r="709">
          <cell r="A709" t="str">
            <v>254SE</v>
          </cell>
          <cell r="B709">
            <v>254</v>
          </cell>
          <cell r="C709" t="str">
            <v>SE</v>
          </cell>
          <cell r="D709">
            <v>0</v>
          </cell>
          <cell r="F709" t="str">
            <v>254SE</v>
          </cell>
          <cell r="G709">
            <v>254</v>
          </cell>
          <cell r="H709" t="str">
            <v>SE</v>
          </cell>
          <cell r="I709">
            <v>0</v>
          </cell>
        </row>
        <row r="710">
          <cell r="A710" t="str">
            <v>254SO</v>
          </cell>
          <cell r="B710">
            <v>254</v>
          </cell>
          <cell r="C710" t="str">
            <v>SO</v>
          </cell>
          <cell r="D710">
            <v>0</v>
          </cell>
          <cell r="F710" t="str">
            <v>254SO</v>
          </cell>
          <cell r="G710">
            <v>254</v>
          </cell>
          <cell r="H710" t="str">
            <v>SO</v>
          </cell>
          <cell r="I710">
            <v>0</v>
          </cell>
        </row>
        <row r="711">
          <cell r="A711" t="str">
            <v>254UT</v>
          </cell>
          <cell r="B711">
            <v>254</v>
          </cell>
          <cell r="C711" t="str">
            <v>UT</v>
          </cell>
          <cell r="D711">
            <v>-25459025.883333299</v>
          </cell>
          <cell r="F711" t="str">
            <v>254UT</v>
          </cell>
          <cell r="G711">
            <v>254</v>
          </cell>
          <cell r="H711" t="str">
            <v>UT</v>
          </cell>
          <cell r="I711">
            <v>-25459025.883333299</v>
          </cell>
        </row>
        <row r="712">
          <cell r="A712" t="str">
            <v>254WA</v>
          </cell>
          <cell r="B712">
            <v>254</v>
          </cell>
          <cell r="C712" t="str">
            <v>WA</v>
          </cell>
          <cell r="D712">
            <v>-30601634.09375</v>
          </cell>
          <cell r="F712" t="str">
            <v>254WA</v>
          </cell>
          <cell r="G712">
            <v>254</v>
          </cell>
          <cell r="H712" t="str">
            <v>WA</v>
          </cell>
          <cell r="I712">
            <v>-30601634.09375</v>
          </cell>
        </row>
        <row r="713">
          <cell r="A713" t="str">
            <v>254WYP</v>
          </cell>
          <cell r="B713">
            <v>254</v>
          </cell>
          <cell r="C713" t="str">
            <v>WYP</v>
          </cell>
          <cell r="D713">
            <v>0</v>
          </cell>
          <cell r="F713" t="str">
            <v>254WYP</v>
          </cell>
          <cell r="G713">
            <v>254</v>
          </cell>
          <cell r="H713" t="str">
            <v>WYP</v>
          </cell>
          <cell r="I713">
            <v>0</v>
          </cell>
        </row>
        <row r="714">
          <cell r="A714" t="str">
            <v>254WYU</v>
          </cell>
          <cell r="B714">
            <v>254</v>
          </cell>
          <cell r="C714" t="str">
            <v>WYU</v>
          </cell>
          <cell r="D714">
            <v>-15716543.5895833</v>
          </cell>
          <cell r="F714" t="str">
            <v>254WYU</v>
          </cell>
          <cell r="G714">
            <v>254</v>
          </cell>
          <cell r="H714" t="str">
            <v>WYU</v>
          </cell>
          <cell r="I714">
            <v>-15716543.5895833</v>
          </cell>
        </row>
        <row r="715">
          <cell r="A715" t="str">
            <v>255ITC84</v>
          </cell>
          <cell r="B715">
            <v>255</v>
          </cell>
          <cell r="C715" t="str">
            <v>ITC84</v>
          </cell>
          <cell r="D715">
            <v>0</v>
          </cell>
          <cell r="F715" t="str">
            <v>255ITC84</v>
          </cell>
          <cell r="G715">
            <v>255</v>
          </cell>
          <cell r="H715" t="str">
            <v>ITC84</v>
          </cell>
          <cell r="I715">
            <v>0</v>
          </cell>
        </row>
        <row r="716">
          <cell r="A716" t="str">
            <v>255ITC85</v>
          </cell>
          <cell r="B716">
            <v>255</v>
          </cell>
          <cell r="C716" t="str">
            <v>ITC85</v>
          </cell>
          <cell r="D716">
            <v>0</v>
          </cell>
          <cell r="F716" t="str">
            <v>255ITC85</v>
          </cell>
          <cell r="G716">
            <v>255</v>
          </cell>
          <cell r="H716" t="str">
            <v>ITC85</v>
          </cell>
          <cell r="I716">
            <v>0</v>
          </cell>
        </row>
        <row r="717">
          <cell r="A717" t="str">
            <v>255ITC86</v>
          </cell>
          <cell r="B717">
            <v>255</v>
          </cell>
          <cell r="C717" t="str">
            <v>ITC86</v>
          </cell>
          <cell r="D717">
            <v>0</v>
          </cell>
          <cell r="F717" t="str">
            <v>255ITC86</v>
          </cell>
          <cell r="G717">
            <v>255</v>
          </cell>
          <cell r="H717" t="str">
            <v>ITC86</v>
          </cell>
          <cell r="I717">
            <v>0</v>
          </cell>
        </row>
        <row r="718">
          <cell r="A718" t="str">
            <v>255ITC88</v>
          </cell>
          <cell r="B718">
            <v>255</v>
          </cell>
          <cell r="C718" t="str">
            <v>ITC88</v>
          </cell>
          <cell r="D718">
            <v>0</v>
          </cell>
          <cell r="F718" t="str">
            <v>255ITC88</v>
          </cell>
          <cell r="G718">
            <v>255</v>
          </cell>
          <cell r="H718" t="str">
            <v>ITC88</v>
          </cell>
          <cell r="I718">
            <v>0</v>
          </cell>
        </row>
        <row r="719">
          <cell r="A719" t="str">
            <v>255ITC89</v>
          </cell>
          <cell r="B719">
            <v>255</v>
          </cell>
          <cell r="C719" t="str">
            <v>ITC89</v>
          </cell>
          <cell r="D719">
            <v>0</v>
          </cell>
          <cell r="F719" t="str">
            <v>255ITC89</v>
          </cell>
          <cell r="G719">
            <v>255</v>
          </cell>
          <cell r="H719" t="str">
            <v>ITC89</v>
          </cell>
          <cell r="I719">
            <v>0</v>
          </cell>
        </row>
        <row r="720">
          <cell r="A720" t="str">
            <v>255ITC90</v>
          </cell>
          <cell r="B720">
            <v>255</v>
          </cell>
          <cell r="C720" t="str">
            <v>ITC90</v>
          </cell>
          <cell r="D720">
            <v>-56922</v>
          </cell>
          <cell r="F720" t="str">
            <v>255ITC90</v>
          </cell>
          <cell r="G720">
            <v>255</v>
          </cell>
          <cell r="H720" t="str">
            <v>ITC90</v>
          </cell>
          <cell r="I720">
            <v>-56922</v>
          </cell>
        </row>
        <row r="721">
          <cell r="A721" t="str">
            <v>255SG</v>
          </cell>
          <cell r="B721">
            <v>255</v>
          </cell>
          <cell r="C721" t="str">
            <v>SG</v>
          </cell>
          <cell r="D721">
            <v>-222375.58624999999</v>
          </cell>
          <cell r="F721" t="str">
            <v>255SG</v>
          </cell>
          <cell r="G721">
            <v>255</v>
          </cell>
          <cell r="H721" t="str">
            <v>SG</v>
          </cell>
          <cell r="I721">
            <v>-222375.58624999999</v>
          </cell>
        </row>
        <row r="722">
          <cell r="A722" t="str">
            <v>281CAGW</v>
          </cell>
          <cell r="B722">
            <v>281</v>
          </cell>
          <cell r="C722" t="str">
            <v>CAGW</v>
          </cell>
          <cell r="D722">
            <v>0</v>
          </cell>
          <cell r="F722" t="str">
            <v>281CAGW</v>
          </cell>
          <cell r="G722">
            <v>281</v>
          </cell>
          <cell r="H722" t="str">
            <v>CAGW</v>
          </cell>
          <cell r="I722">
            <v>0</v>
          </cell>
        </row>
        <row r="723">
          <cell r="A723" t="str">
            <v>281SG</v>
          </cell>
          <cell r="B723">
            <v>281</v>
          </cell>
          <cell r="C723" t="str">
            <v>SG</v>
          </cell>
          <cell r="D723">
            <v>-0.1333329975605011</v>
          </cell>
          <cell r="F723" t="str">
            <v>281SG</v>
          </cell>
          <cell r="G723">
            <v>281</v>
          </cell>
          <cell r="H723" t="str">
            <v>SG</v>
          </cell>
          <cell r="I723">
            <v>-0.1333329975605011</v>
          </cell>
        </row>
        <row r="724">
          <cell r="A724" t="str">
            <v>282CA</v>
          </cell>
          <cell r="B724">
            <v>282</v>
          </cell>
          <cell r="C724" t="str">
            <v>CA</v>
          </cell>
          <cell r="D724">
            <v>-96799717.5</v>
          </cell>
          <cell r="F724" t="str">
            <v>282CA</v>
          </cell>
          <cell r="G724">
            <v>282</v>
          </cell>
          <cell r="H724" t="str">
            <v>CA</v>
          </cell>
          <cell r="I724">
            <v>-96799717.5</v>
          </cell>
        </row>
        <row r="725">
          <cell r="A725" t="str">
            <v>282CAEE</v>
          </cell>
          <cell r="B725">
            <v>282</v>
          </cell>
          <cell r="C725" t="str">
            <v>CAEE</v>
          </cell>
          <cell r="D725">
            <v>154520.35875000001</v>
          </cell>
          <cell r="F725" t="str">
            <v>282CAEE</v>
          </cell>
          <cell r="G725">
            <v>282</v>
          </cell>
          <cell r="H725" t="str">
            <v>CAEE</v>
          </cell>
          <cell r="I725">
            <v>154520.35875000001</v>
          </cell>
        </row>
        <row r="726">
          <cell r="A726" t="str">
            <v>282CAGE</v>
          </cell>
          <cell r="B726">
            <v>282</v>
          </cell>
          <cell r="C726" t="str">
            <v>CAGE</v>
          </cell>
          <cell r="D726">
            <v>-956838.60041666694</v>
          </cell>
          <cell r="F726" t="str">
            <v>282CAGE</v>
          </cell>
          <cell r="G726">
            <v>282</v>
          </cell>
          <cell r="H726" t="str">
            <v>CAGE</v>
          </cell>
          <cell r="I726">
            <v>-956838.60041666694</v>
          </cell>
        </row>
        <row r="727">
          <cell r="A727" t="str">
            <v>282CAGW</v>
          </cell>
          <cell r="B727">
            <v>282</v>
          </cell>
          <cell r="C727" t="str">
            <v>CAGW</v>
          </cell>
          <cell r="D727">
            <v>0</v>
          </cell>
          <cell r="F727" t="str">
            <v>282CAGW</v>
          </cell>
          <cell r="G727">
            <v>282</v>
          </cell>
          <cell r="H727" t="str">
            <v>CAGW</v>
          </cell>
          <cell r="I727">
            <v>0</v>
          </cell>
        </row>
        <row r="728">
          <cell r="A728" t="str">
            <v>282DITBAL</v>
          </cell>
          <cell r="B728">
            <v>282</v>
          </cell>
          <cell r="C728" t="str">
            <v>DITBAL</v>
          </cell>
          <cell r="D728">
            <v>6.6070799827575684</v>
          </cell>
          <cell r="F728" t="str">
            <v>282DITBAL</v>
          </cell>
          <cell r="G728">
            <v>282</v>
          </cell>
          <cell r="H728" t="str">
            <v>DITBAL</v>
          </cell>
          <cell r="I728">
            <v>6.6070799827575684</v>
          </cell>
        </row>
        <row r="729">
          <cell r="A729" t="str">
            <v>282FERC</v>
          </cell>
          <cell r="B729">
            <v>282</v>
          </cell>
          <cell r="C729" t="str">
            <v>FERC</v>
          </cell>
          <cell r="D729">
            <v>-2041317.41666667</v>
          </cell>
          <cell r="F729" t="str">
            <v>282FERC</v>
          </cell>
          <cell r="G729">
            <v>282</v>
          </cell>
          <cell r="H729" t="str">
            <v>FERC</v>
          </cell>
          <cell r="I729">
            <v>-2041317.41666667</v>
          </cell>
        </row>
        <row r="730">
          <cell r="A730" t="str">
            <v>282ID</v>
          </cell>
          <cell r="B730">
            <v>282</v>
          </cell>
          <cell r="C730" t="str">
            <v>ID</v>
          </cell>
          <cell r="D730">
            <v>-252515186.53083333</v>
          </cell>
          <cell r="F730" t="str">
            <v>282ID</v>
          </cell>
          <cell r="G730">
            <v>282</v>
          </cell>
          <cell r="H730" t="str">
            <v>ID</v>
          </cell>
          <cell r="I730">
            <v>-252515186.53083333</v>
          </cell>
        </row>
        <row r="731">
          <cell r="A731" t="str">
            <v>282JBE</v>
          </cell>
          <cell r="B731">
            <v>282</v>
          </cell>
          <cell r="C731" t="str">
            <v>JBE</v>
          </cell>
          <cell r="D731">
            <v>-8026757.2858333299</v>
          </cell>
          <cell r="F731" t="str">
            <v>282JBE</v>
          </cell>
          <cell r="G731">
            <v>282</v>
          </cell>
          <cell r="H731" t="str">
            <v>JBE</v>
          </cell>
          <cell r="I731">
            <v>-8026757.2858333299</v>
          </cell>
        </row>
        <row r="732">
          <cell r="A732" t="str">
            <v>282OR</v>
          </cell>
          <cell r="B732">
            <v>282</v>
          </cell>
          <cell r="C732" t="str">
            <v>OR</v>
          </cell>
          <cell r="D732">
            <v>-1159661145.375</v>
          </cell>
          <cell r="F732" t="str">
            <v>282OR</v>
          </cell>
          <cell r="G732">
            <v>282</v>
          </cell>
          <cell r="H732" t="str">
            <v>OR</v>
          </cell>
          <cell r="I732">
            <v>-1159661145.375</v>
          </cell>
        </row>
        <row r="733">
          <cell r="A733" t="str">
            <v>282OTHER</v>
          </cell>
          <cell r="B733">
            <v>282</v>
          </cell>
          <cell r="C733" t="str">
            <v>OTHER</v>
          </cell>
          <cell r="D733">
            <v>-79502491.822083324</v>
          </cell>
          <cell r="F733" t="str">
            <v>282OTHER</v>
          </cell>
          <cell r="G733">
            <v>282</v>
          </cell>
          <cell r="H733" t="str">
            <v>OTHER</v>
          </cell>
          <cell r="I733">
            <v>-79502491.822083324</v>
          </cell>
        </row>
        <row r="734">
          <cell r="A734" t="str">
            <v>282SE</v>
          </cell>
          <cell r="B734">
            <v>282</v>
          </cell>
          <cell r="C734" t="str">
            <v>SE</v>
          </cell>
          <cell r="D734">
            <v>0</v>
          </cell>
          <cell r="F734" t="str">
            <v>282SE</v>
          </cell>
          <cell r="G734">
            <v>282</v>
          </cell>
          <cell r="H734" t="str">
            <v>SE</v>
          </cell>
          <cell r="I734">
            <v>0</v>
          </cell>
        </row>
        <row r="735">
          <cell r="A735" t="str">
            <v>282SG</v>
          </cell>
          <cell r="B735">
            <v>282</v>
          </cell>
          <cell r="C735" t="str">
            <v>SG</v>
          </cell>
          <cell r="D735">
            <v>16021889</v>
          </cell>
          <cell r="F735" t="str">
            <v>282SG</v>
          </cell>
          <cell r="G735">
            <v>282</v>
          </cell>
          <cell r="H735" t="str">
            <v>SG</v>
          </cell>
          <cell r="I735">
            <v>16021889</v>
          </cell>
        </row>
        <row r="736">
          <cell r="A736" t="str">
            <v>282SO</v>
          </cell>
          <cell r="B736">
            <v>282</v>
          </cell>
          <cell r="C736" t="str">
            <v>SO</v>
          </cell>
          <cell r="D736">
            <v>-1415106.2845833302</v>
          </cell>
          <cell r="F736" t="str">
            <v>282SO</v>
          </cell>
          <cell r="G736">
            <v>282</v>
          </cell>
          <cell r="H736" t="str">
            <v>SO</v>
          </cell>
          <cell r="I736">
            <v>-1415106.2845833302</v>
          </cell>
        </row>
        <row r="737">
          <cell r="A737" t="str">
            <v>282UT</v>
          </cell>
          <cell r="B737">
            <v>282</v>
          </cell>
          <cell r="C737" t="str">
            <v>UT</v>
          </cell>
          <cell r="D737">
            <v>-1913711378.9100001</v>
          </cell>
          <cell r="F737" t="str">
            <v>282UT</v>
          </cell>
          <cell r="G737">
            <v>282</v>
          </cell>
          <cell r="H737" t="str">
            <v>UT</v>
          </cell>
          <cell r="I737">
            <v>-1913711378.9100001</v>
          </cell>
        </row>
        <row r="738">
          <cell r="A738" t="str">
            <v>282WA</v>
          </cell>
          <cell r="B738">
            <v>282</v>
          </cell>
          <cell r="C738" t="str">
            <v>WA</v>
          </cell>
          <cell r="D738">
            <v>-278019247.20833331</v>
          </cell>
          <cell r="F738" t="str">
            <v>282WA</v>
          </cell>
          <cell r="G738">
            <v>282</v>
          </cell>
          <cell r="H738" t="str">
            <v>WA</v>
          </cell>
          <cell r="I738">
            <v>-278019247.20833331</v>
          </cell>
        </row>
        <row r="739">
          <cell r="A739" t="str">
            <v>282WYP</v>
          </cell>
          <cell r="B739">
            <v>282</v>
          </cell>
          <cell r="C739" t="str">
            <v>WYP</v>
          </cell>
          <cell r="D739">
            <v>-614294973.0958333</v>
          </cell>
          <cell r="F739" t="str">
            <v>282WYP</v>
          </cell>
          <cell r="G739">
            <v>282</v>
          </cell>
          <cell r="H739" t="str">
            <v>WYP</v>
          </cell>
          <cell r="I739">
            <v>-614294973.0958333</v>
          </cell>
        </row>
        <row r="740">
          <cell r="A740" t="str">
            <v>282SNP</v>
          </cell>
          <cell r="B740">
            <v>282</v>
          </cell>
          <cell r="C740" t="str">
            <v>SNP</v>
          </cell>
          <cell r="D740">
            <v>-2682998</v>
          </cell>
          <cell r="F740" t="str">
            <v>282SNP</v>
          </cell>
          <cell r="G740">
            <v>282</v>
          </cell>
          <cell r="H740" t="str">
            <v>SNP</v>
          </cell>
          <cell r="I740">
            <v>-2682998</v>
          </cell>
        </row>
        <row r="741">
          <cell r="A741" t="str">
            <v>282CIAC</v>
          </cell>
          <cell r="B741">
            <v>282</v>
          </cell>
          <cell r="C741" t="str">
            <v>CIAC</v>
          </cell>
          <cell r="D741">
            <v>35987</v>
          </cell>
          <cell r="F741" t="str">
            <v>282CIAC</v>
          </cell>
          <cell r="G741">
            <v>282</v>
          </cell>
          <cell r="H741" t="str">
            <v>CIAC</v>
          </cell>
          <cell r="I741">
            <v>35987</v>
          </cell>
        </row>
        <row r="742">
          <cell r="A742" t="str">
            <v>282JBG</v>
          </cell>
          <cell r="B742">
            <v>282</v>
          </cell>
          <cell r="C742" t="str">
            <v>JBG</v>
          </cell>
          <cell r="D742">
            <v>2786</v>
          </cell>
          <cell r="F742" t="str">
            <v>282JBG</v>
          </cell>
          <cell r="G742">
            <v>282</v>
          </cell>
          <cell r="H742" t="str">
            <v>JBG</v>
          </cell>
          <cell r="I742">
            <v>2786</v>
          </cell>
        </row>
        <row r="743">
          <cell r="A743" t="str">
            <v>282SNPD</v>
          </cell>
          <cell r="B743">
            <v>282</v>
          </cell>
          <cell r="C743" t="str">
            <v>SNPD</v>
          </cell>
          <cell r="D743">
            <v>-405626</v>
          </cell>
          <cell r="F743" t="str">
            <v>282SNPD</v>
          </cell>
          <cell r="G743">
            <v>282</v>
          </cell>
          <cell r="H743" t="str">
            <v>SNPD</v>
          </cell>
          <cell r="I743">
            <v>-405626</v>
          </cell>
        </row>
        <row r="744">
          <cell r="A744" t="str">
            <v>282WYU</v>
          </cell>
          <cell r="B744">
            <v>282</v>
          </cell>
          <cell r="C744" t="str">
            <v>WYU</v>
          </cell>
          <cell r="D744">
            <v>-20849443.875</v>
          </cell>
          <cell r="F744" t="str">
            <v>282WYU</v>
          </cell>
          <cell r="G744">
            <v>282</v>
          </cell>
          <cell r="H744" t="str">
            <v>WYU</v>
          </cell>
          <cell r="I744">
            <v>-20849443.875</v>
          </cell>
        </row>
        <row r="745">
          <cell r="A745" t="str">
            <v>283CA</v>
          </cell>
          <cell r="B745">
            <v>283</v>
          </cell>
          <cell r="C745" t="str">
            <v>CA</v>
          </cell>
          <cell r="D745">
            <v>620356.98083333299</v>
          </cell>
          <cell r="F745" t="str">
            <v>283CA</v>
          </cell>
          <cell r="G745">
            <v>283</v>
          </cell>
          <cell r="H745" t="str">
            <v>CA</v>
          </cell>
          <cell r="I745">
            <v>620356.98083333299</v>
          </cell>
        </row>
        <row r="746">
          <cell r="A746" t="str">
            <v>283CAEE</v>
          </cell>
          <cell r="B746">
            <v>283</v>
          </cell>
          <cell r="C746" t="str">
            <v>CAEE</v>
          </cell>
          <cell r="D746">
            <v>-44111273.6291667</v>
          </cell>
          <cell r="F746" t="str">
            <v>283CAEE</v>
          </cell>
          <cell r="G746">
            <v>283</v>
          </cell>
          <cell r="H746" t="str">
            <v>CAEE</v>
          </cell>
          <cell r="I746">
            <v>-44111273.6291667</v>
          </cell>
        </row>
        <row r="747">
          <cell r="A747" t="str">
            <v>283CAGE</v>
          </cell>
          <cell r="B747">
            <v>283</v>
          </cell>
          <cell r="C747" t="str">
            <v>CAGE</v>
          </cell>
          <cell r="D747">
            <v>-1017253.525</v>
          </cell>
          <cell r="F747" t="str">
            <v>283CAGE</v>
          </cell>
          <cell r="G747">
            <v>283</v>
          </cell>
          <cell r="H747" t="str">
            <v>CAGE</v>
          </cell>
          <cell r="I747">
            <v>-1017253.525</v>
          </cell>
        </row>
        <row r="748">
          <cell r="A748" t="str">
            <v>283CAGW</v>
          </cell>
          <cell r="B748">
            <v>283</v>
          </cell>
          <cell r="C748" t="str">
            <v>CAGW</v>
          </cell>
          <cell r="D748">
            <v>-742254.94083333295</v>
          </cell>
          <cell r="F748" t="str">
            <v>283CAGW</v>
          </cell>
          <cell r="G748">
            <v>283</v>
          </cell>
          <cell r="H748" t="str">
            <v>CAGW</v>
          </cell>
          <cell r="I748">
            <v>-742254.94083333295</v>
          </cell>
        </row>
        <row r="749">
          <cell r="A749" t="str">
            <v>283GPS</v>
          </cell>
          <cell r="B749">
            <v>283</v>
          </cell>
          <cell r="C749" t="str">
            <v>GPS</v>
          </cell>
          <cell r="D749">
            <v>-3444681.8224999998</v>
          </cell>
          <cell r="F749" t="str">
            <v>283GPS</v>
          </cell>
          <cell r="G749">
            <v>283</v>
          </cell>
          <cell r="H749" t="str">
            <v>GPS</v>
          </cell>
          <cell r="I749">
            <v>-3444681.8224999998</v>
          </cell>
        </row>
        <row r="750">
          <cell r="A750" t="str">
            <v>283ID</v>
          </cell>
          <cell r="B750">
            <v>283</v>
          </cell>
          <cell r="C750" t="str">
            <v>ID</v>
          </cell>
          <cell r="D750">
            <v>70595.391250000001</v>
          </cell>
          <cell r="F750" t="str">
            <v>283ID</v>
          </cell>
          <cell r="G750">
            <v>283</v>
          </cell>
          <cell r="H750" t="str">
            <v>ID</v>
          </cell>
          <cell r="I750">
            <v>70595.391250000001</v>
          </cell>
        </row>
        <row r="751">
          <cell r="A751" t="str">
            <v>283JBE</v>
          </cell>
          <cell r="B751">
            <v>283</v>
          </cell>
          <cell r="C751" t="str">
            <v>JBE</v>
          </cell>
          <cell r="D751">
            <v>-22438.875</v>
          </cell>
          <cell r="F751" t="str">
            <v>283JBE</v>
          </cell>
          <cell r="G751">
            <v>283</v>
          </cell>
          <cell r="H751" t="str">
            <v>JBE</v>
          </cell>
          <cell r="I751">
            <v>-22438.875</v>
          </cell>
        </row>
        <row r="752">
          <cell r="A752" t="str">
            <v>283OR</v>
          </cell>
          <cell r="B752">
            <v>283</v>
          </cell>
          <cell r="C752" t="str">
            <v>OR</v>
          </cell>
          <cell r="D752">
            <v>-340843.97208333301</v>
          </cell>
          <cell r="F752" t="str">
            <v>283OR</v>
          </cell>
          <cell r="G752">
            <v>283</v>
          </cell>
          <cell r="H752" t="str">
            <v>OR</v>
          </cell>
          <cell r="I752">
            <v>-340843.97208333301</v>
          </cell>
        </row>
        <row r="753">
          <cell r="A753" t="str">
            <v>283OTHER</v>
          </cell>
          <cell r="B753">
            <v>283</v>
          </cell>
          <cell r="C753" t="str">
            <v>OTHER</v>
          </cell>
          <cell r="D753">
            <v>-25201016.404166698</v>
          </cell>
          <cell r="F753" t="str">
            <v>283OTHER</v>
          </cell>
          <cell r="G753">
            <v>283</v>
          </cell>
          <cell r="H753" t="str">
            <v>OTHER</v>
          </cell>
          <cell r="I753">
            <v>-25201016.404166698</v>
          </cell>
        </row>
        <row r="754">
          <cell r="A754" t="str">
            <v>283SE</v>
          </cell>
          <cell r="B754">
            <v>283</v>
          </cell>
          <cell r="C754" t="str">
            <v>SE</v>
          </cell>
          <cell r="D754">
            <v>0</v>
          </cell>
          <cell r="F754" t="str">
            <v>283SE</v>
          </cell>
          <cell r="G754">
            <v>283</v>
          </cell>
          <cell r="H754" t="str">
            <v>SE</v>
          </cell>
          <cell r="I754">
            <v>0</v>
          </cell>
        </row>
        <row r="755">
          <cell r="A755" t="str">
            <v>283SG</v>
          </cell>
          <cell r="B755">
            <v>283</v>
          </cell>
          <cell r="C755" t="str">
            <v>SG</v>
          </cell>
          <cell r="D755">
            <v>-4780.4220833333302</v>
          </cell>
          <cell r="F755" t="str">
            <v>283SG</v>
          </cell>
          <cell r="G755">
            <v>283</v>
          </cell>
          <cell r="H755" t="str">
            <v>SG</v>
          </cell>
          <cell r="I755">
            <v>-4780.4220833333302</v>
          </cell>
        </row>
        <row r="756">
          <cell r="A756" t="str">
            <v>283SNP</v>
          </cell>
          <cell r="B756">
            <v>283</v>
          </cell>
          <cell r="C756" t="str">
            <v>SNP</v>
          </cell>
          <cell r="D756">
            <v>-1119888.08416667</v>
          </cell>
          <cell r="F756" t="str">
            <v>283SNP</v>
          </cell>
          <cell r="G756">
            <v>283</v>
          </cell>
          <cell r="H756" t="str">
            <v>SNP</v>
          </cell>
          <cell r="I756">
            <v>-1119888.08416667</v>
          </cell>
        </row>
        <row r="757">
          <cell r="A757" t="str">
            <v>283SO</v>
          </cell>
          <cell r="B757">
            <v>283</v>
          </cell>
          <cell r="C757" t="str">
            <v>SO</v>
          </cell>
          <cell r="D757">
            <v>-21711222.909166701</v>
          </cell>
          <cell r="F757" t="str">
            <v>283SO</v>
          </cell>
          <cell r="G757">
            <v>283</v>
          </cell>
          <cell r="H757" t="str">
            <v>SO</v>
          </cell>
          <cell r="I757">
            <v>-21711222.909166701</v>
          </cell>
        </row>
        <row r="758">
          <cell r="A758" t="str">
            <v>283TROJD</v>
          </cell>
          <cell r="B758">
            <v>283</v>
          </cell>
          <cell r="C758" t="str">
            <v>TROJD</v>
          </cell>
          <cell r="D758">
            <v>0</v>
          </cell>
          <cell r="F758" t="str">
            <v>283TROJD</v>
          </cell>
          <cell r="G758">
            <v>283</v>
          </cell>
          <cell r="H758" t="str">
            <v>TROJD</v>
          </cell>
          <cell r="I758">
            <v>0</v>
          </cell>
        </row>
        <row r="759">
          <cell r="A759" t="str">
            <v>283UT</v>
          </cell>
          <cell r="B759">
            <v>283</v>
          </cell>
          <cell r="C759" t="str">
            <v>UT</v>
          </cell>
          <cell r="D759">
            <v>-5058639.5824999996</v>
          </cell>
          <cell r="F759" t="str">
            <v>283UT</v>
          </cell>
          <cell r="G759">
            <v>283</v>
          </cell>
          <cell r="H759" t="str">
            <v>UT</v>
          </cell>
          <cell r="I759">
            <v>-5058639.5824999996</v>
          </cell>
        </row>
        <row r="760">
          <cell r="A760" t="str">
            <v>283WA</v>
          </cell>
          <cell r="B760">
            <v>283</v>
          </cell>
          <cell r="C760" t="str">
            <v>WA</v>
          </cell>
          <cell r="D760">
            <v>468086.22208333301</v>
          </cell>
          <cell r="F760" t="str">
            <v>283WA</v>
          </cell>
          <cell r="G760">
            <v>283</v>
          </cell>
          <cell r="H760" t="str">
            <v>WA</v>
          </cell>
          <cell r="I760">
            <v>468086.22208333301</v>
          </cell>
        </row>
        <row r="761">
          <cell r="A761" t="str">
            <v>283WYP</v>
          </cell>
          <cell r="B761">
            <v>283</v>
          </cell>
          <cell r="C761" t="str">
            <v>WYP</v>
          </cell>
          <cell r="D761">
            <v>-2972292.4312499999</v>
          </cell>
          <cell r="F761" t="str">
            <v>283WYP</v>
          </cell>
          <cell r="G761">
            <v>283</v>
          </cell>
          <cell r="H761" t="str">
            <v>WYP</v>
          </cell>
          <cell r="I761">
            <v>-2972292.4312499999</v>
          </cell>
        </row>
        <row r="762">
          <cell r="A762" t="str">
            <v>283WYU</v>
          </cell>
          <cell r="B762">
            <v>283</v>
          </cell>
          <cell r="C762" t="str">
            <v>WYU</v>
          </cell>
          <cell r="D762">
            <v>-106293.750833333</v>
          </cell>
          <cell r="F762" t="str">
            <v>283WYU</v>
          </cell>
          <cell r="G762">
            <v>283</v>
          </cell>
          <cell r="H762" t="str">
            <v>WYU</v>
          </cell>
          <cell r="I762">
            <v>-106293.750833333</v>
          </cell>
        </row>
        <row r="763">
          <cell r="A763" t="str">
            <v>302CAGE</v>
          </cell>
          <cell r="B763">
            <v>302</v>
          </cell>
          <cell r="C763" t="str">
            <v>CAGE</v>
          </cell>
          <cell r="D763">
            <v>14386244.550000001</v>
          </cell>
          <cell r="F763" t="str">
            <v>302CAGE</v>
          </cell>
          <cell r="G763">
            <v>302</v>
          </cell>
          <cell r="H763" t="str">
            <v>CAGE</v>
          </cell>
          <cell r="I763">
            <v>14386244.550000001</v>
          </cell>
        </row>
        <row r="764">
          <cell r="A764" t="str">
            <v>302CAGW</v>
          </cell>
          <cell r="B764">
            <v>302</v>
          </cell>
          <cell r="C764" t="str">
            <v>CAGW</v>
          </cell>
          <cell r="D764">
            <v>181298687.63791701</v>
          </cell>
          <cell r="F764" t="str">
            <v>302CAGW</v>
          </cell>
          <cell r="G764">
            <v>302</v>
          </cell>
          <cell r="H764" t="str">
            <v>CAGW</v>
          </cell>
          <cell r="I764">
            <v>181298687.63791701</v>
          </cell>
        </row>
        <row r="765">
          <cell r="A765" t="str">
            <v>302ID</v>
          </cell>
          <cell r="B765">
            <v>302</v>
          </cell>
          <cell r="C765" t="str">
            <v>ID</v>
          </cell>
          <cell r="D765">
            <v>1000000</v>
          </cell>
          <cell r="F765" t="str">
            <v>302ID</v>
          </cell>
          <cell r="G765">
            <v>302</v>
          </cell>
          <cell r="H765" t="str">
            <v>ID</v>
          </cell>
          <cell r="I765">
            <v>1000000</v>
          </cell>
        </row>
        <row r="766">
          <cell r="A766" t="str">
            <v>302UT</v>
          </cell>
          <cell r="B766">
            <v>302</v>
          </cell>
          <cell r="C766" t="str">
            <v>UT</v>
          </cell>
          <cell r="D766">
            <v>-32081214.850000001</v>
          </cell>
          <cell r="F766" t="str">
            <v>302UT</v>
          </cell>
          <cell r="G766">
            <v>302</v>
          </cell>
          <cell r="H766" t="str">
            <v>UT</v>
          </cell>
          <cell r="I766">
            <v>-32081214.850000001</v>
          </cell>
        </row>
        <row r="767">
          <cell r="A767" t="str">
            <v>303CA</v>
          </cell>
          <cell r="B767">
            <v>303</v>
          </cell>
          <cell r="C767" t="str">
            <v>CA</v>
          </cell>
          <cell r="D767">
            <v>481167.06</v>
          </cell>
          <cell r="F767" t="str">
            <v>303CA</v>
          </cell>
          <cell r="G767">
            <v>303</v>
          </cell>
          <cell r="H767" t="str">
            <v>CA</v>
          </cell>
          <cell r="I767">
            <v>481167.06</v>
          </cell>
        </row>
        <row r="768">
          <cell r="A768" t="str">
            <v>303CAEE</v>
          </cell>
          <cell r="B768">
            <v>303</v>
          </cell>
          <cell r="C768" t="str">
            <v>CAEE</v>
          </cell>
          <cell r="D768">
            <v>6716.1187499999996</v>
          </cell>
          <cell r="F768" t="str">
            <v>303CAEE</v>
          </cell>
          <cell r="G768">
            <v>303</v>
          </cell>
          <cell r="H768" t="str">
            <v>CAEE</v>
          </cell>
          <cell r="I768">
            <v>6716.1187499999996</v>
          </cell>
        </row>
        <row r="769">
          <cell r="A769" t="str">
            <v>303CAGE</v>
          </cell>
          <cell r="B769">
            <v>303</v>
          </cell>
          <cell r="C769" t="str">
            <v>CAGE</v>
          </cell>
          <cell r="D769">
            <v>86355413.687083304</v>
          </cell>
          <cell r="F769" t="str">
            <v>303CAGE</v>
          </cell>
          <cell r="G769">
            <v>303</v>
          </cell>
          <cell r="H769" t="str">
            <v>CAGE</v>
          </cell>
          <cell r="I769">
            <v>86355413.687083304</v>
          </cell>
        </row>
        <row r="770">
          <cell r="A770" t="str">
            <v>303CAGW</v>
          </cell>
          <cell r="B770">
            <v>303</v>
          </cell>
          <cell r="C770" t="str">
            <v>CAGW</v>
          </cell>
          <cell r="D770">
            <v>76950152.477500007</v>
          </cell>
          <cell r="F770" t="str">
            <v>303CAGW</v>
          </cell>
          <cell r="G770">
            <v>303</v>
          </cell>
          <cell r="H770" t="str">
            <v>CAGW</v>
          </cell>
          <cell r="I770">
            <v>76950152.477500007</v>
          </cell>
        </row>
        <row r="771">
          <cell r="A771" t="str">
            <v>303CN</v>
          </cell>
          <cell r="B771">
            <v>303</v>
          </cell>
          <cell r="C771" t="str">
            <v>CN</v>
          </cell>
          <cell r="D771">
            <v>170442379.00999999</v>
          </cell>
          <cell r="F771" t="str">
            <v>303CN</v>
          </cell>
          <cell r="G771">
            <v>303</v>
          </cell>
          <cell r="H771" t="str">
            <v>CN</v>
          </cell>
          <cell r="I771">
            <v>170442379.00999999</v>
          </cell>
        </row>
        <row r="772">
          <cell r="A772" t="str">
            <v>303ID</v>
          </cell>
          <cell r="B772">
            <v>303</v>
          </cell>
          <cell r="C772" t="str">
            <v>ID</v>
          </cell>
          <cell r="D772">
            <v>3371145.07</v>
          </cell>
          <cell r="F772" t="str">
            <v>303ID</v>
          </cell>
          <cell r="G772">
            <v>303</v>
          </cell>
          <cell r="H772" t="str">
            <v>ID</v>
          </cell>
          <cell r="I772">
            <v>3371145.07</v>
          </cell>
        </row>
        <row r="773">
          <cell r="A773" t="str">
            <v>303JBG</v>
          </cell>
          <cell r="B773">
            <v>303</v>
          </cell>
          <cell r="C773" t="str">
            <v>JBG</v>
          </cell>
          <cell r="D773">
            <v>2130387.8149999999</v>
          </cell>
          <cell r="F773" t="str">
            <v>303JBG</v>
          </cell>
          <cell r="G773">
            <v>303</v>
          </cell>
          <cell r="H773" t="str">
            <v>JBG</v>
          </cell>
          <cell r="I773">
            <v>2130387.8149999999</v>
          </cell>
        </row>
        <row r="774">
          <cell r="A774" t="str">
            <v>303OR</v>
          </cell>
          <cell r="B774">
            <v>303</v>
          </cell>
          <cell r="C774" t="str">
            <v>OR</v>
          </cell>
          <cell r="D774">
            <v>4609189.2787499996</v>
          </cell>
          <cell r="F774" t="str">
            <v>303OR</v>
          </cell>
          <cell r="G774">
            <v>303</v>
          </cell>
          <cell r="H774" t="str">
            <v>OR</v>
          </cell>
          <cell r="I774">
            <v>4609189.2787499996</v>
          </cell>
        </row>
        <row r="775">
          <cell r="A775" t="str">
            <v>303SG</v>
          </cell>
          <cell r="B775">
            <v>303</v>
          </cell>
          <cell r="C775" t="str">
            <v>SG</v>
          </cell>
          <cell r="D775">
            <v>1600187.12</v>
          </cell>
          <cell r="F775" t="str">
            <v>303SG</v>
          </cell>
          <cell r="G775">
            <v>303</v>
          </cell>
          <cell r="H775" t="str">
            <v>SG</v>
          </cell>
          <cell r="I775">
            <v>1600187.12</v>
          </cell>
        </row>
        <row r="776">
          <cell r="A776" t="str">
            <v>303SO</v>
          </cell>
          <cell r="B776">
            <v>303</v>
          </cell>
          <cell r="C776" t="str">
            <v>SO</v>
          </cell>
          <cell r="D776">
            <v>383478028.83249998</v>
          </cell>
          <cell r="F776" t="str">
            <v>303SO</v>
          </cell>
          <cell r="G776">
            <v>303</v>
          </cell>
          <cell r="H776" t="str">
            <v>SO</v>
          </cell>
          <cell r="I776">
            <v>383478028.83249998</v>
          </cell>
        </row>
        <row r="777">
          <cell r="A777" t="str">
            <v>303UT</v>
          </cell>
          <cell r="B777">
            <v>303</v>
          </cell>
          <cell r="C777" t="str">
            <v>UT</v>
          </cell>
          <cell r="D777">
            <v>5291167.9933333304</v>
          </cell>
          <cell r="F777" t="str">
            <v>303UT</v>
          </cell>
          <cell r="G777">
            <v>303</v>
          </cell>
          <cell r="H777" t="str">
            <v>UT</v>
          </cell>
          <cell r="I777">
            <v>5291167.9933333304</v>
          </cell>
        </row>
        <row r="778">
          <cell r="A778" t="str">
            <v>303WA</v>
          </cell>
          <cell r="B778">
            <v>303</v>
          </cell>
          <cell r="C778" t="str">
            <v>WA</v>
          </cell>
          <cell r="D778">
            <v>2036363.08</v>
          </cell>
          <cell r="F778" t="str">
            <v>303WA</v>
          </cell>
          <cell r="G778">
            <v>303</v>
          </cell>
          <cell r="H778" t="str">
            <v>WA</v>
          </cell>
          <cell r="I778">
            <v>2036363.08</v>
          </cell>
        </row>
        <row r="779">
          <cell r="A779" t="str">
            <v>303WYP</v>
          </cell>
          <cell r="B779">
            <v>303</v>
          </cell>
          <cell r="C779" t="str">
            <v>WYP</v>
          </cell>
          <cell r="D779">
            <v>5426106.5070833303</v>
          </cell>
          <cell r="F779" t="str">
            <v>303WYP</v>
          </cell>
          <cell r="G779">
            <v>303</v>
          </cell>
          <cell r="H779" t="str">
            <v>WYP</v>
          </cell>
          <cell r="I779">
            <v>5426106.5070833303</v>
          </cell>
        </row>
        <row r="780">
          <cell r="A780" t="str">
            <v>310CAGE</v>
          </cell>
          <cell r="B780">
            <v>310</v>
          </cell>
          <cell r="C780" t="str">
            <v>CAGE</v>
          </cell>
          <cell r="D780">
            <v>90007495.148333296</v>
          </cell>
          <cell r="F780" t="str">
            <v>310CAGE</v>
          </cell>
          <cell r="G780">
            <v>310</v>
          </cell>
          <cell r="H780" t="str">
            <v>CAGE</v>
          </cell>
          <cell r="I780">
            <v>90007495.148333296</v>
          </cell>
        </row>
        <row r="781">
          <cell r="A781" t="str">
            <v>310CAGW</v>
          </cell>
          <cell r="B781">
            <v>310</v>
          </cell>
          <cell r="C781" t="str">
            <v>CAGW</v>
          </cell>
          <cell r="D781">
            <v>1788644.22</v>
          </cell>
          <cell r="F781" t="str">
            <v>310CAGW</v>
          </cell>
          <cell r="G781">
            <v>310</v>
          </cell>
          <cell r="H781" t="str">
            <v>CAGW</v>
          </cell>
          <cell r="I781">
            <v>1788644.22</v>
          </cell>
        </row>
        <row r="782">
          <cell r="A782" t="str">
            <v>310JBG</v>
          </cell>
          <cell r="B782">
            <v>310</v>
          </cell>
          <cell r="C782" t="str">
            <v>JBG</v>
          </cell>
          <cell r="D782">
            <v>1193760.78</v>
          </cell>
          <cell r="F782" t="str">
            <v>310JBG</v>
          </cell>
          <cell r="G782">
            <v>310</v>
          </cell>
          <cell r="H782" t="str">
            <v>JBG</v>
          </cell>
          <cell r="I782">
            <v>1193760.78</v>
          </cell>
        </row>
        <row r="783">
          <cell r="A783" t="str">
            <v>311CAGE</v>
          </cell>
          <cell r="B783">
            <v>311</v>
          </cell>
          <cell r="C783" t="str">
            <v>CAGE</v>
          </cell>
          <cell r="D783">
            <v>822926268.28333294</v>
          </cell>
          <cell r="F783" t="str">
            <v>311CAGE</v>
          </cell>
          <cell r="G783">
            <v>311</v>
          </cell>
          <cell r="H783" t="str">
            <v>CAGE</v>
          </cell>
          <cell r="I783">
            <v>822926268.28333294</v>
          </cell>
        </row>
        <row r="784">
          <cell r="A784" t="str">
            <v>311CAGW</v>
          </cell>
          <cell r="B784">
            <v>311</v>
          </cell>
          <cell r="C784" t="str">
            <v>CAGW</v>
          </cell>
          <cell r="D784">
            <v>62979415.532083303</v>
          </cell>
          <cell r="F784" t="str">
            <v>311CAGW</v>
          </cell>
          <cell r="G784">
            <v>311</v>
          </cell>
          <cell r="H784" t="str">
            <v>CAGW</v>
          </cell>
          <cell r="I784">
            <v>62979415.532083303</v>
          </cell>
        </row>
        <row r="785">
          <cell r="A785" t="str">
            <v>311JBG</v>
          </cell>
          <cell r="B785">
            <v>311</v>
          </cell>
          <cell r="C785" t="str">
            <v>JBG</v>
          </cell>
          <cell r="D785">
            <v>148219714.212917</v>
          </cell>
          <cell r="F785" t="str">
            <v>311JBG</v>
          </cell>
          <cell r="G785">
            <v>311</v>
          </cell>
          <cell r="H785" t="str">
            <v>JBG</v>
          </cell>
          <cell r="I785">
            <v>148219714.212917</v>
          </cell>
        </row>
        <row r="786">
          <cell r="A786" t="str">
            <v>312CAGE</v>
          </cell>
          <cell r="B786">
            <v>312</v>
          </cell>
          <cell r="C786" t="str">
            <v>CAGE</v>
          </cell>
          <cell r="D786">
            <v>3507824449.32792</v>
          </cell>
          <cell r="F786" t="str">
            <v>312CAGE</v>
          </cell>
          <cell r="G786">
            <v>312</v>
          </cell>
          <cell r="H786" t="str">
            <v>CAGE</v>
          </cell>
          <cell r="I786">
            <v>3507824449.32792</v>
          </cell>
        </row>
        <row r="787">
          <cell r="A787" t="str">
            <v>312CAGW</v>
          </cell>
          <cell r="B787">
            <v>312</v>
          </cell>
          <cell r="C787" t="str">
            <v>CAGW</v>
          </cell>
          <cell r="D787">
            <v>122341922.05958299</v>
          </cell>
          <cell r="F787" t="str">
            <v>312CAGW</v>
          </cell>
          <cell r="G787">
            <v>312</v>
          </cell>
          <cell r="H787" t="str">
            <v>CAGW</v>
          </cell>
          <cell r="I787">
            <v>122341922.05958299</v>
          </cell>
        </row>
        <row r="788">
          <cell r="A788" t="str">
            <v>312JBG</v>
          </cell>
          <cell r="B788">
            <v>312</v>
          </cell>
          <cell r="C788" t="str">
            <v>JBG</v>
          </cell>
          <cell r="D788">
            <v>992279162.27374995</v>
          </cell>
          <cell r="F788" t="str">
            <v>312JBG</v>
          </cell>
          <cell r="G788">
            <v>312</v>
          </cell>
          <cell r="H788" t="str">
            <v>JBG</v>
          </cell>
          <cell r="I788">
            <v>992279162.27374995</v>
          </cell>
        </row>
        <row r="789">
          <cell r="A789" t="str">
            <v>314CAGE</v>
          </cell>
          <cell r="B789">
            <v>314</v>
          </cell>
          <cell r="C789" t="str">
            <v>CAGE</v>
          </cell>
          <cell r="D789">
            <v>754220624.93458295</v>
          </cell>
          <cell r="F789" t="str">
            <v>314CAGE</v>
          </cell>
          <cell r="G789">
            <v>314</v>
          </cell>
          <cell r="H789" t="str">
            <v>CAGE</v>
          </cell>
          <cell r="I789">
            <v>754220624.93458295</v>
          </cell>
        </row>
        <row r="790">
          <cell r="A790" t="str">
            <v>314CAGW</v>
          </cell>
          <cell r="B790">
            <v>314</v>
          </cell>
          <cell r="C790" t="str">
            <v>CAGW</v>
          </cell>
          <cell r="D790">
            <v>39056062.118749999</v>
          </cell>
          <cell r="F790" t="str">
            <v>314CAGW</v>
          </cell>
          <cell r="G790">
            <v>314</v>
          </cell>
          <cell r="H790" t="str">
            <v>CAGW</v>
          </cell>
          <cell r="I790">
            <v>39056062.118749999</v>
          </cell>
        </row>
        <row r="791">
          <cell r="A791" t="str">
            <v>314JBG</v>
          </cell>
          <cell r="B791">
            <v>314</v>
          </cell>
          <cell r="C791" t="str">
            <v>JBG</v>
          </cell>
          <cell r="D791">
            <v>205729752.00874999</v>
          </cell>
          <cell r="F791" t="str">
            <v>314JBG</v>
          </cell>
          <cell r="G791">
            <v>314</v>
          </cell>
          <cell r="H791" t="str">
            <v>JBG</v>
          </cell>
          <cell r="I791">
            <v>205729752.00874999</v>
          </cell>
        </row>
        <row r="792">
          <cell r="A792" t="str">
            <v>315CAGE</v>
          </cell>
          <cell r="B792">
            <v>315</v>
          </cell>
          <cell r="C792" t="str">
            <v>CAGE</v>
          </cell>
          <cell r="D792">
            <v>417783382.51583302</v>
          </cell>
          <cell r="F792" t="str">
            <v>315CAGE</v>
          </cell>
          <cell r="G792">
            <v>315</v>
          </cell>
          <cell r="H792" t="str">
            <v>CAGE</v>
          </cell>
          <cell r="I792">
            <v>417783382.51583302</v>
          </cell>
        </row>
        <row r="793">
          <cell r="A793" t="str">
            <v>315CAGW</v>
          </cell>
          <cell r="B793">
            <v>315</v>
          </cell>
          <cell r="C793" t="str">
            <v>CAGW</v>
          </cell>
          <cell r="D793">
            <v>9346936.8041666709</v>
          </cell>
          <cell r="F793" t="str">
            <v>315CAGW</v>
          </cell>
          <cell r="G793">
            <v>315</v>
          </cell>
          <cell r="H793" t="str">
            <v>CAGW</v>
          </cell>
          <cell r="I793">
            <v>9346936.8041666709</v>
          </cell>
        </row>
        <row r="794">
          <cell r="A794" t="str">
            <v>315JBG</v>
          </cell>
          <cell r="B794">
            <v>315</v>
          </cell>
          <cell r="C794" t="str">
            <v>JBG</v>
          </cell>
          <cell r="D794">
            <v>60820908.645416699</v>
          </cell>
          <cell r="F794" t="str">
            <v>315JBG</v>
          </cell>
          <cell r="G794">
            <v>315</v>
          </cell>
          <cell r="H794" t="str">
            <v>JBG</v>
          </cell>
          <cell r="I794">
            <v>60820908.645416699</v>
          </cell>
        </row>
        <row r="795">
          <cell r="A795" t="str">
            <v>316CAGE</v>
          </cell>
          <cell r="B795">
            <v>316</v>
          </cell>
          <cell r="C795" t="str">
            <v>CAGE</v>
          </cell>
          <cell r="D795">
            <v>27181447.5154167</v>
          </cell>
          <cell r="F795" t="str">
            <v>316CAGE</v>
          </cell>
          <cell r="G795">
            <v>316</v>
          </cell>
          <cell r="H795" t="str">
            <v>CAGE</v>
          </cell>
          <cell r="I795">
            <v>27181447.5154167</v>
          </cell>
        </row>
        <row r="796">
          <cell r="A796" t="str">
            <v>316CAGW</v>
          </cell>
          <cell r="B796">
            <v>316</v>
          </cell>
          <cell r="C796" t="str">
            <v>CAGW</v>
          </cell>
          <cell r="D796">
            <v>420930.68874999997</v>
          </cell>
          <cell r="F796" t="str">
            <v>316CAGW</v>
          </cell>
          <cell r="G796">
            <v>316</v>
          </cell>
          <cell r="H796" t="str">
            <v>CAGW</v>
          </cell>
          <cell r="I796">
            <v>420930.68874999997</v>
          </cell>
        </row>
        <row r="797">
          <cell r="A797" t="str">
            <v>316JBG</v>
          </cell>
          <cell r="B797">
            <v>316</v>
          </cell>
          <cell r="C797" t="str">
            <v>JBG</v>
          </cell>
          <cell r="D797">
            <v>5154994.9091666704</v>
          </cell>
          <cell r="F797" t="str">
            <v>316JBG</v>
          </cell>
          <cell r="G797">
            <v>316</v>
          </cell>
          <cell r="H797" t="str">
            <v>JBG</v>
          </cell>
          <cell r="I797">
            <v>5154994.9091666704</v>
          </cell>
        </row>
        <row r="798">
          <cell r="A798" t="str">
            <v>330CAGE</v>
          </cell>
          <cell r="B798">
            <v>330</v>
          </cell>
          <cell r="C798" t="str">
            <v>CAGE</v>
          </cell>
          <cell r="D798">
            <v>6553227.1699999999</v>
          </cell>
          <cell r="F798" t="str">
            <v>330CAGE</v>
          </cell>
          <cell r="G798">
            <v>330</v>
          </cell>
          <cell r="H798" t="str">
            <v>CAGE</v>
          </cell>
          <cell r="I798">
            <v>6553227.1699999999</v>
          </cell>
        </row>
        <row r="799">
          <cell r="A799" t="str">
            <v>330CAGW</v>
          </cell>
          <cell r="B799">
            <v>330</v>
          </cell>
          <cell r="C799" t="str">
            <v>CAGW</v>
          </cell>
          <cell r="D799">
            <v>29762193.084583301</v>
          </cell>
          <cell r="F799" t="str">
            <v>330CAGW</v>
          </cell>
          <cell r="G799">
            <v>330</v>
          </cell>
          <cell r="H799" t="str">
            <v>CAGW</v>
          </cell>
          <cell r="I799">
            <v>29762193.084583301</v>
          </cell>
        </row>
        <row r="800">
          <cell r="A800" t="str">
            <v>331CAGE</v>
          </cell>
          <cell r="B800">
            <v>331</v>
          </cell>
          <cell r="C800" t="str">
            <v>CAGE</v>
          </cell>
          <cell r="D800">
            <v>17225000.412083302</v>
          </cell>
          <cell r="F800" t="str">
            <v>331CAGE</v>
          </cell>
          <cell r="G800">
            <v>331</v>
          </cell>
          <cell r="H800" t="str">
            <v>CAGE</v>
          </cell>
          <cell r="I800">
            <v>17225000.412083302</v>
          </cell>
        </row>
        <row r="801">
          <cell r="A801" t="str">
            <v>331CAGW</v>
          </cell>
          <cell r="B801">
            <v>331</v>
          </cell>
          <cell r="C801" t="str">
            <v>CAGW</v>
          </cell>
          <cell r="D801">
            <v>259235593.96250001</v>
          </cell>
          <cell r="F801" t="str">
            <v>331CAGW</v>
          </cell>
          <cell r="G801">
            <v>331</v>
          </cell>
          <cell r="H801" t="str">
            <v>CAGW</v>
          </cell>
          <cell r="I801">
            <v>259235593.96250001</v>
          </cell>
        </row>
        <row r="802">
          <cell r="A802" t="str">
            <v>332CAGE</v>
          </cell>
          <cell r="B802">
            <v>332</v>
          </cell>
          <cell r="C802" t="str">
            <v>CAGE</v>
          </cell>
          <cell r="D802">
            <v>100754393.150417</v>
          </cell>
          <cell r="F802" t="str">
            <v>332CAGE</v>
          </cell>
          <cell r="G802">
            <v>332</v>
          </cell>
          <cell r="H802" t="str">
            <v>CAGE</v>
          </cell>
          <cell r="I802">
            <v>100754393.150417</v>
          </cell>
        </row>
        <row r="803">
          <cell r="A803" t="str">
            <v>332CAGW</v>
          </cell>
          <cell r="B803">
            <v>332</v>
          </cell>
          <cell r="C803" t="str">
            <v>CAGW</v>
          </cell>
          <cell r="D803">
            <v>408153635.48708302</v>
          </cell>
          <cell r="F803" t="str">
            <v>332CAGW</v>
          </cell>
          <cell r="G803">
            <v>332</v>
          </cell>
          <cell r="H803" t="str">
            <v>CAGW</v>
          </cell>
          <cell r="I803">
            <v>408153635.48708302</v>
          </cell>
        </row>
        <row r="804">
          <cell r="A804" t="str">
            <v>333CAGE</v>
          </cell>
          <cell r="B804">
            <v>333</v>
          </cell>
          <cell r="C804" t="str">
            <v>CAGE</v>
          </cell>
          <cell r="D804">
            <v>46165942.807499997</v>
          </cell>
          <cell r="F804" t="str">
            <v>333CAGE</v>
          </cell>
          <cell r="G804">
            <v>333</v>
          </cell>
          <cell r="H804" t="str">
            <v>CAGE</v>
          </cell>
          <cell r="I804">
            <v>46165942.807499997</v>
          </cell>
        </row>
        <row r="805">
          <cell r="A805" t="str">
            <v>333CAGW</v>
          </cell>
          <cell r="B805">
            <v>333</v>
          </cell>
          <cell r="C805" t="str">
            <v>CAGW</v>
          </cell>
          <cell r="D805">
            <v>89540090.649166703</v>
          </cell>
          <cell r="F805" t="str">
            <v>333CAGW</v>
          </cell>
          <cell r="G805">
            <v>333</v>
          </cell>
          <cell r="H805" t="str">
            <v>CAGW</v>
          </cell>
          <cell r="I805">
            <v>89540090.649166703</v>
          </cell>
        </row>
        <row r="806">
          <cell r="A806" t="str">
            <v>334CAGE</v>
          </cell>
          <cell r="B806">
            <v>334</v>
          </cell>
          <cell r="C806" t="str">
            <v>CAGE</v>
          </cell>
          <cell r="D806">
            <v>14682267.1170833</v>
          </cell>
          <cell r="F806" t="str">
            <v>334CAGE</v>
          </cell>
          <cell r="G806">
            <v>334</v>
          </cell>
          <cell r="H806" t="str">
            <v>CAGE</v>
          </cell>
          <cell r="I806">
            <v>14682267.1170833</v>
          </cell>
        </row>
        <row r="807">
          <cell r="A807" t="str">
            <v>334CAGW</v>
          </cell>
          <cell r="B807">
            <v>334</v>
          </cell>
          <cell r="C807" t="str">
            <v>CAGW</v>
          </cell>
          <cell r="D807">
            <v>69449200.382083297</v>
          </cell>
          <cell r="F807" t="str">
            <v>334CAGW</v>
          </cell>
          <cell r="G807">
            <v>334</v>
          </cell>
          <cell r="H807" t="str">
            <v>CAGW</v>
          </cell>
          <cell r="I807">
            <v>69449200.382083297</v>
          </cell>
        </row>
        <row r="808">
          <cell r="A808" t="str">
            <v>335CAGE</v>
          </cell>
          <cell r="B808">
            <v>335</v>
          </cell>
          <cell r="C808" t="str">
            <v>CAGE</v>
          </cell>
          <cell r="D808">
            <v>175189.94625000001</v>
          </cell>
          <cell r="F808" t="str">
            <v>335CAGE</v>
          </cell>
          <cell r="G808">
            <v>335</v>
          </cell>
          <cell r="H808" t="str">
            <v>CAGE</v>
          </cell>
          <cell r="I808">
            <v>175189.94625000001</v>
          </cell>
        </row>
        <row r="809">
          <cell r="A809" t="str">
            <v>335CAGW</v>
          </cell>
          <cell r="B809">
            <v>335</v>
          </cell>
          <cell r="C809" t="str">
            <v>CAGW</v>
          </cell>
          <cell r="D809">
            <v>2217863.53083333</v>
          </cell>
          <cell r="F809" t="str">
            <v>335CAGW</v>
          </cell>
          <cell r="G809">
            <v>335</v>
          </cell>
          <cell r="H809" t="str">
            <v>CAGW</v>
          </cell>
          <cell r="I809">
            <v>2217863.53083333</v>
          </cell>
        </row>
        <row r="810">
          <cell r="A810" t="str">
            <v>336CAGE</v>
          </cell>
          <cell r="B810">
            <v>336</v>
          </cell>
          <cell r="C810" t="str">
            <v>CAGE</v>
          </cell>
          <cell r="D810">
            <v>2501475.0995833301</v>
          </cell>
          <cell r="F810" t="str">
            <v>336CAGE</v>
          </cell>
          <cell r="G810">
            <v>336</v>
          </cell>
          <cell r="H810" t="str">
            <v>CAGE</v>
          </cell>
          <cell r="I810">
            <v>2501475.0995833301</v>
          </cell>
        </row>
        <row r="811">
          <cell r="A811" t="str">
            <v>336CAGW</v>
          </cell>
          <cell r="B811">
            <v>336</v>
          </cell>
          <cell r="C811" t="str">
            <v>CAGW</v>
          </cell>
          <cell r="D811">
            <v>21932266.723333299</v>
          </cell>
          <cell r="F811" t="str">
            <v>336CAGW</v>
          </cell>
          <cell r="G811">
            <v>336</v>
          </cell>
          <cell r="H811" t="str">
            <v>CAGW</v>
          </cell>
          <cell r="I811">
            <v>21932266.723333299</v>
          </cell>
        </row>
        <row r="812">
          <cell r="A812" t="str">
            <v>340CAGE</v>
          </cell>
          <cell r="B812">
            <v>340</v>
          </cell>
          <cell r="C812" t="str">
            <v>CAGE</v>
          </cell>
          <cell r="D812">
            <v>40830447.450000003</v>
          </cell>
          <cell r="F812" t="str">
            <v>340CAGE</v>
          </cell>
          <cell r="G812">
            <v>340</v>
          </cell>
          <cell r="H812" t="str">
            <v>CAGE</v>
          </cell>
          <cell r="I812">
            <v>40830447.450000003</v>
          </cell>
        </row>
        <row r="813">
          <cell r="A813" t="str">
            <v>340CAGW</v>
          </cell>
          <cell r="B813">
            <v>340</v>
          </cell>
          <cell r="C813" t="str">
            <v>CAGW</v>
          </cell>
          <cell r="D813">
            <v>4533120.0374999996</v>
          </cell>
          <cell r="F813" t="str">
            <v>340CAGW</v>
          </cell>
          <cell r="G813">
            <v>340</v>
          </cell>
          <cell r="H813" t="str">
            <v>CAGW</v>
          </cell>
          <cell r="I813">
            <v>4533120.0374999996</v>
          </cell>
        </row>
        <row r="814">
          <cell r="A814" t="str">
            <v>340OR</v>
          </cell>
          <cell r="B814">
            <v>340</v>
          </cell>
          <cell r="C814" t="str">
            <v>OR</v>
          </cell>
          <cell r="D814">
            <v>74985.87</v>
          </cell>
          <cell r="F814" t="str">
            <v>340OR</v>
          </cell>
          <cell r="G814">
            <v>340</v>
          </cell>
          <cell r="H814" t="str">
            <v>OR</v>
          </cell>
          <cell r="I814">
            <v>74985.87</v>
          </cell>
        </row>
        <row r="815">
          <cell r="A815" t="str">
            <v>341CAGE</v>
          </cell>
          <cell r="B815">
            <v>341</v>
          </cell>
          <cell r="C815" t="str">
            <v>CAGE</v>
          </cell>
          <cell r="D815">
            <v>169992868.80875</v>
          </cell>
          <cell r="F815" t="str">
            <v>341CAGE</v>
          </cell>
          <cell r="G815">
            <v>341</v>
          </cell>
          <cell r="H815" t="str">
            <v>CAGE</v>
          </cell>
          <cell r="I815">
            <v>169992868.80875</v>
          </cell>
        </row>
        <row r="816">
          <cell r="A816" t="str">
            <v>341CAGW</v>
          </cell>
          <cell r="B816">
            <v>341</v>
          </cell>
          <cell r="C816" t="str">
            <v>CAGW</v>
          </cell>
          <cell r="D816">
            <v>58221169.946666703</v>
          </cell>
          <cell r="F816" t="str">
            <v>341CAGW</v>
          </cell>
          <cell r="G816">
            <v>341</v>
          </cell>
          <cell r="H816" t="str">
            <v>CAGW</v>
          </cell>
          <cell r="I816">
            <v>58221169.946666703</v>
          </cell>
        </row>
        <row r="817">
          <cell r="A817" t="str">
            <v>342CAGE</v>
          </cell>
          <cell r="B817">
            <v>342</v>
          </cell>
          <cell r="C817" t="str">
            <v>CAGE</v>
          </cell>
          <cell r="D817">
            <v>14565556.1</v>
          </cell>
          <cell r="F817" t="str">
            <v>342CAGE</v>
          </cell>
          <cell r="G817">
            <v>342</v>
          </cell>
          <cell r="H817" t="str">
            <v>CAGE</v>
          </cell>
          <cell r="I817">
            <v>14565556.1</v>
          </cell>
        </row>
        <row r="818">
          <cell r="A818" t="str">
            <v>342CAGW</v>
          </cell>
          <cell r="B818">
            <v>342</v>
          </cell>
          <cell r="C818" t="str">
            <v>CAGW</v>
          </cell>
          <cell r="D818">
            <v>1622667.14</v>
          </cell>
          <cell r="F818" t="str">
            <v>342CAGW</v>
          </cell>
          <cell r="G818">
            <v>342</v>
          </cell>
          <cell r="H818" t="str">
            <v>CAGW</v>
          </cell>
          <cell r="I818">
            <v>1622667.14</v>
          </cell>
        </row>
        <row r="819">
          <cell r="A819" t="str">
            <v>343CAGE</v>
          </cell>
          <cell r="B819">
            <v>343</v>
          </cell>
          <cell r="C819" t="str">
            <v>CAGE</v>
          </cell>
          <cell r="D819">
            <v>1946316331.3225</v>
          </cell>
          <cell r="F819" t="str">
            <v>343CAGE</v>
          </cell>
          <cell r="G819">
            <v>343</v>
          </cell>
          <cell r="H819" t="str">
            <v>CAGE</v>
          </cell>
          <cell r="I819">
            <v>1946316331.3225</v>
          </cell>
        </row>
        <row r="820">
          <cell r="A820" t="str">
            <v>343CAGW</v>
          </cell>
          <cell r="B820">
            <v>343</v>
          </cell>
          <cell r="C820" t="str">
            <v>CAGW</v>
          </cell>
          <cell r="D820">
            <v>978058626.86208296</v>
          </cell>
          <cell r="F820" t="str">
            <v>343CAGW</v>
          </cell>
          <cell r="G820">
            <v>343</v>
          </cell>
          <cell r="H820" t="str">
            <v>CAGW</v>
          </cell>
          <cell r="I820">
            <v>978058626.86208296</v>
          </cell>
        </row>
        <row r="821">
          <cell r="A821" t="str">
            <v>344CAGE</v>
          </cell>
          <cell r="B821">
            <v>344</v>
          </cell>
          <cell r="C821" t="str">
            <v>CAGE</v>
          </cell>
          <cell r="D821">
            <v>340870545.98791701</v>
          </cell>
          <cell r="F821" t="str">
            <v>344CAGE</v>
          </cell>
          <cell r="G821">
            <v>344</v>
          </cell>
          <cell r="H821" t="str">
            <v>CAGE</v>
          </cell>
          <cell r="I821">
            <v>340870545.98791701</v>
          </cell>
        </row>
        <row r="822">
          <cell r="A822" t="str">
            <v>344CAGW</v>
          </cell>
          <cell r="B822">
            <v>344</v>
          </cell>
          <cell r="C822" t="str">
            <v>CAGW</v>
          </cell>
          <cell r="D822">
            <v>134496124.17833301</v>
          </cell>
          <cell r="F822" t="str">
            <v>344CAGW</v>
          </cell>
          <cell r="G822">
            <v>344</v>
          </cell>
          <cell r="H822" t="str">
            <v>CAGW</v>
          </cell>
          <cell r="I822">
            <v>134496124.17833301</v>
          </cell>
        </row>
        <row r="823">
          <cell r="A823" t="str">
            <v>345CAGE</v>
          </cell>
          <cell r="B823">
            <v>345</v>
          </cell>
          <cell r="C823" t="str">
            <v>CAGE</v>
          </cell>
          <cell r="D823">
            <v>238783839.93458301</v>
          </cell>
          <cell r="F823" t="str">
            <v>345CAGE</v>
          </cell>
          <cell r="G823">
            <v>345</v>
          </cell>
          <cell r="H823" t="str">
            <v>CAGE</v>
          </cell>
          <cell r="I823">
            <v>238783839.93458301</v>
          </cell>
        </row>
        <row r="824">
          <cell r="A824" t="str">
            <v>345CAGW</v>
          </cell>
          <cell r="B824">
            <v>345</v>
          </cell>
          <cell r="C824" t="str">
            <v>CAGW</v>
          </cell>
          <cell r="D824">
            <v>88588289.507916704</v>
          </cell>
          <cell r="F824" t="str">
            <v>345CAGW</v>
          </cell>
          <cell r="G824">
            <v>345</v>
          </cell>
          <cell r="H824" t="str">
            <v>CAGW</v>
          </cell>
          <cell r="I824">
            <v>88588289.507916704</v>
          </cell>
        </row>
        <row r="825">
          <cell r="A825" t="str">
            <v>346CAGE</v>
          </cell>
          <cell r="B825">
            <v>346</v>
          </cell>
          <cell r="C825" t="str">
            <v>CAGE</v>
          </cell>
          <cell r="D825">
            <v>11837625.66</v>
          </cell>
          <cell r="F825" t="str">
            <v>346CAGE</v>
          </cell>
          <cell r="G825">
            <v>346</v>
          </cell>
          <cell r="H825" t="str">
            <v>CAGE</v>
          </cell>
          <cell r="I825">
            <v>11837625.66</v>
          </cell>
        </row>
        <row r="826">
          <cell r="A826" t="str">
            <v>346CAGW</v>
          </cell>
          <cell r="B826">
            <v>346</v>
          </cell>
          <cell r="C826" t="str">
            <v>CAGW</v>
          </cell>
          <cell r="D826">
            <v>4080872.39708333</v>
          </cell>
          <cell r="F826" t="str">
            <v>346CAGW</v>
          </cell>
          <cell r="G826">
            <v>346</v>
          </cell>
          <cell r="H826" t="str">
            <v>CAGW</v>
          </cell>
          <cell r="I826">
            <v>4080872.39708333</v>
          </cell>
        </row>
        <row r="827">
          <cell r="A827" t="str">
            <v>350CAGE</v>
          </cell>
          <cell r="B827">
            <v>350</v>
          </cell>
          <cell r="C827" t="str">
            <v>CAGE</v>
          </cell>
          <cell r="D827">
            <v>232316124.99208301</v>
          </cell>
          <cell r="F827" t="str">
            <v>350CAGE</v>
          </cell>
          <cell r="G827">
            <v>350</v>
          </cell>
          <cell r="H827" t="str">
            <v>CAGE</v>
          </cell>
          <cell r="I827">
            <v>232316124.99208301</v>
          </cell>
        </row>
        <row r="828">
          <cell r="A828" t="str">
            <v>350CAGW</v>
          </cell>
          <cell r="B828">
            <v>350</v>
          </cell>
          <cell r="C828" t="str">
            <v>CAGW</v>
          </cell>
          <cell r="D828">
            <v>36382142.913333297</v>
          </cell>
          <cell r="F828" t="str">
            <v>350CAGW</v>
          </cell>
          <cell r="G828">
            <v>350</v>
          </cell>
          <cell r="H828" t="str">
            <v>CAGW</v>
          </cell>
          <cell r="I828">
            <v>36382142.913333297</v>
          </cell>
        </row>
        <row r="829">
          <cell r="A829" t="str">
            <v>350JBG</v>
          </cell>
          <cell r="B829">
            <v>350</v>
          </cell>
          <cell r="C829" t="str">
            <v>JBG</v>
          </cell>
          <cell r="D829">
            <v>2309450.67</v>
          </cell>
          <cell r="F829" t="str">
            <v>350JBG</v>
          </cell>
          <cell r="G829">
            <v>350</v>
          </cell>
          <cell r="H829" t="str">
            <v>JBG</v>
          </cell>
          <cell r="I829">
            <v>2309450.67</v>
          </cell>
        </row>
        <row r="830">
          <cell r="A830" t="str">
            <v>350SG</v>
          </cell>
          <cell r="B830">
            <v>350</v>
          </cell>
          <cell r="C830" t="str">
            <v>SG</v>
          </cell>
          <cell r="D830">
            <v>100387.77</v>
          </cell>
          <cell r="F830" t="str">
            <v>350SG</v>
          </cell>
          <cell r="G830">
            <v>350</v>
          </cell>
          <cell r="H830" t="str">
            <v>SG</v>
          </cell>
          <cell r="I830">
            <v>100387.77</v>
          </cell>
        </row>
        <row r="831">
          <cell r="A831" t="str">
            <v>352CAGE</v>
          </cell>
          <cell r="B831">
            <v>352</v>
          </cell>
          <cell r="C831" t="str">
            <v>CAGE</v>
          </cell>
          <cell r="D831">
            <v>199298315.20625001</v>
          </cell>
          <cell r="F831" t="str">
            <v>352CAGE</v>
          </cell>
          <cell r="G831">
            <v>352</v>
          </cell>
          <cell r="H831" t="str">
            <v>CAGE</v>
          </cell>
          <cell r="I831">
            <v>199298315.20625001</v>
          </cell>
        </row>
        <row r="832">
          <cell r="A832" t="str">
            <v>352CAGW</v>
          </cell>
          <cell r="B832">
            <v>352</v>
          </cell>
          <cell r="C832" t="str">
            <v>CAGW</v>
          </cell>
          <cell r="D832">
            <v>69877356.720833302</v>
          </cell>
          <cell r="F832" t="str">
            <v>352CAGW</v>
          </cell>
          <cell r="G832">
            <v>352</v>
          </cell>
          <cell r="H832" t="str">
            <v>CAGW</v>
          </cell>
          <cell r="I832">
            <v>69877356.720833302</v>
          </cell>
        </row>
        <row r="833">
          <cell r="A833" t="str">
            <v>352JBG</v>
          </cell>
          <cell r="B833">
            <v>352</v>
          </cell>
          <cell r="C833" t="str">
            <v>JBG</v>
          </cell>
          <cell r="D833">
            <v>1671505.84</v>
          </cell>
          <cell r="F833" t="str">
            <v>352JBG</v>
          </cell>
          <cell r="G833">
            <v>352</v>
          </cell>
          <cell r="H833" t="str">
            <v>JBG</v>
          </cell>
          <cell r="I833">
            <v>1671505.84</v>
          </cell>
        </row>
        <row r="834">
          <cell r="A834" t="str">
            <v>352SG</v>
          </cell>
          <cell r="B834">
            <v>352</v>
          </cell>
          <cell r="C834" t="str">
            <v>SG</v>
          </cell>
          <cell r="D834">
            <v>3167.48</v>
          </cell>
          <cell r="F834" t="str">
            <v>352SG</v>
          </cell>
          <cell r="G834">
            <v>352</v>
          </cell>
          <cell r="H834" t="str">
            <v>SG</v>
          </cell>
          <cell r="I834">
            <v>3167.48</v>
          </cell>
        </row>
        <row r="835">
          <cell r="A835" t="str">
            <v>353CAGE</v>
          </cell>
          <cell r="B835">
            <v>353</v>
          </cell>
          <cell r="C835" t="str">
            <v>CAGE</v>
          </cell>
          <cell r="D835">
            <v>1529839362.7279201</v>
          </cell>
          <cell r="F835" t="str">
            <v>353CAGE</v>
          </cell>
          <cell r="G835">
            <v>353</v>
          </cell>
          <cell r="H835" t="str">
            <v>CAGE</v>
          </cell>
          <cell r="I835">
            <v>1529839362.7279201</v>
          </cell>
        </row>
        <row r="836">
          <cell r="A836" t="str">
            <v>353CAGW</v>
          </cell>
          <cell r="B836">
            <v>353</v>
          </cell>
          <cell r="C836" t="str">
            <v>CAGW</v>
          </cell>
          <cell r="D836">
            <v>580599779.92124999</v>
          </cell>
          <cell r="F836" t="str">
            <v>353CAGW</v>
          </cell>
          <cell r="G836">
            <v>353</v>
          </cell>
          <cell r="H836" t="str">
            <v>CAGW</v>
          </cell>
          <cell r="I836">
            <v>580599779.92124999</v>
          </cell>
        </row>
        <row r="837">
          <cell r="A837" t="str">
            <v>353JBG</v>
          </cell>
          <cell r="B837">
            <v>353</v>
          </cell>
          <cell r="C837" t="str">
            <v>JBG</v>
          </cell>
          <cell r="D837">
            <v>40324621.034999996</v>
          </cell>
          <cell r="F837" t="str">
            <v>353JBG</v>
          </cell>
          <cell r="G837">
            <v>353</v>
          </cell>
          <cell r="H837" t="str">
            <v>JBG</v>
          </cell>
          <cell r="I837">
            <v>40324621.034999996</v>
          </cell>
        </row>
        <row r="838">
          <cell r="A838" t="str">
            <v>353SG</v>
          </cell>
          <cell r="B838">
            <v>353</v>
          </cell>
          <cell r="C838" t="str">
            <v>SG</v>
          </cell>
          <cell r="D838">
            <v>952146.51</v>
          </cell>
          <cell r="F838" t="str">
            <v>353SG</v>
          </cell>
          <cell r="G838">
            <v>353</v>
          </cell>
          <cell r="H838" t="str">
            <v>SG</v>
          </cell>
          <cell r="I838">
            <v>952146.51</v>
          </cell>
        </row>
        <row r="839">
          <cell r="A839" t="str">
            <v>354CAGE</v>
          </cell>
          <cell r="B839">
            <v>354</v>
          </cell>
          <cell r="C839" t="str">
            <v>CAGE</v>
          </cell>
          <cell r="D839">
            <v>1090092324.28458</v>
          </cell>
          <cell r="F839" t="str">
            <v>354CAGE</v>
          </cell>
          <cell r="G839">
            <v>354</v>
          </cell>
          <cell r="H839" t="str">
            <v>CAGE</v>
          </cell>
          <cell r="I839">
            <v>1090092324.28458</v>
          </cell>
        </row>
        <row r="840">
          <cell r="A840" t="str">
            <v>354CAGW</v>
          </cell>
          <cell r="B840">
            <v>354</v>
          </cell>
          <cell r="C840" t="str">
            <v>CAGW</v>
          </cell>
          <cell r="D840">
            <v>169010982.570833</v>
          </cell>
          <cell r="F840" t="str">
            <v>354CAGW</v>
          </cell>
          <cell r="G840">
            <v>354</v>
          </cell>
          <cell r="H840" t="str">
            <v>CAGW</v>
          </cell>
          <cell r="I840">
            <v>169010982.570833</v>
          </cell>
        </row>
        <row r="841">
          <cell r="A841" t="str">
            <v>354JBG</v>
          </cell>
          <cell r="B841">
            <v>354</v>
          </cell>
          <cell r="C841" t="str">
            <v>JBG</v>
          </cell>
          <cell r="D841">
            <v>21750535.91</v>
          </cell>
          <cell r="F841" t="str">
            <v>354JBG</v>
          </cell>
          <cell r="G841">
            <v>354</v>
          </cell>
          <cell r="H841" t="str">
            <v>JBG</v>
          </cell>
          <cell r="I841">
            <v>21750535.91</v>
          </cell>
        </row>
        <row r="842">
          <cell r="A842" t="str">
            <v>354SG</v>
          </cell>
          <cell r="B842">
            <v>354</v>
          </cell>
          <cell r="C842" t="str">
            <v>SG</v>
          </cell>
          <cell r="D842">
            <v>123629.91</v>
          </cell>
          <cell r="F842" t="str">
            <v>354SG</v>
          </cell>
          <cell r="G842">
            <v>354</v>
          </cell>
          <cell r="H842" t="str">
            <v>SG</v>
          </cell>
          <cell r="I842">
            <v>123629.91</v>
          </cell>
        </row>
        <row r="843">
          <cell r="A843" t="str">
            <v>355CAGE</v>
          </cell>
          <cell r="B843">
            <v>355</v>
          </cell>
          <cell r="C843" t="str">
            <v>CAGE</v>
          </cell>
          <cell r="D843">
            <v>672986141.61125004</v>
          </cell>
          <cell r="F843" t="str">
            <v>355CAGE</v>
          </cell>
          <cell r="G843">
            <v>355</v>
          </cell>
          <cell r="H843" t="str">
            <v>CAGE</v>
          </cell>
          <cell r="I843">
            <v>672986141.61125004</v>
          </cell>
        </row>
        <row r="844">
          <cell r="A844" t="str">
            <v>355CAGW</v>
          </cell>
          <cell r="B844">
            <v>355</v>
          </cell>
          <cell r="C844" t="str">
            <v>CAGW</v>
          </cell>
          <cell r="D844">
            <v>280310367.98374999</v>
          </cell>
          <cell r="F844" t="str">
            <v>355CAGW</v>
          </cell>
          <cell r="G844">
            <v>355</v>
          </cell>
          <cell r="H844" t="str">
            <v>CAGW</v>
          </cell>
          <cell r="I844">
            <v>280310367.98374999</v>
          </cell>
        </row>
        <row r="845">
          <cell r="A845" t="str">
            <v>355JBG</v>
          </cell>
          <cell r="B845">
            <v>355</v>
          </cell>
          <cell r="C845" t="str">
            <v>JBG</v>
          </cell>
          <cell r="D845">
            <v>691571.70333333302</v>
          </cell>
          <cell r="F845" t="str">
            <v>355JBG</v>
          </cell>
          <cell r="G845">
            <v>355</v>
          </cell>
          <cell r="H845" t="str">
            <v>JBG</v>
          </cell>
          <cell r="I845">
            <v>691571.70333333302</v>
          </cell>
        </row>
        <row r="846">
          <cell r="A846" t="str">
            <v>355SG</v>
          </cell>
          <cell r="B846">
            <v>355</v>
          </cell>
          <cell r="C846" t="str">
            <v>SG</v>
          </cell>
          <cell r="D846">
            <v>707219.33</v>
          </cell>
          <cell r="F846" t="str">
            <v>355SG</v>
          </cell>
          <cell r="G846">
            <v>355</v>
          </cell>
          <cell r="H846" t="str">
            <v>SG</v>
          </cell>
          <cell r="I846">
            <v>707219.33</v>
          </cell>
        </row>
        <row r="847">
          <cell r="A847" t="str">
            <v>356CAGE</v>
          </cell>
          <cell r="B847">
            <v>356</v>
          </cell>
          <cell r="C847" t="str">
            <v>CAGE</v>
          </cell>
          <cell r="D847">
            <v>911836051.03333294</v>
          </cell>
          <cell r="F847" t="str">
            <v>356CAGE</v>
          </cell>
          <cell r="G847">
            <v>356</v>
          </cell>
          <cell r="H847" t="str">
            <v>CAGE</v>
          </cell>
          <cell r="I847">
            <v>911836051.03333294</v>
          </cell>
        </row>
        <row r="848">
          <cell r="A848" t="str">
            <v>356CAGW</v>
          </cell>
          <cell r="B848">
            <v>356</v>
          </cell>
          <cell r="C848" t="str">
            <v>CAGW</v>
          </cell>
          <cell r="D848">
            <v>311764922.88166702</v>
          </cell>
          <cell r="F848" t="str">
            <v>356CAGW</v>
          </cell>
          <cell r="G848">
            <v>356</v>
          </cell>
          <cell r="H848" t="str">
            <v>CAGW</v>
          </cell>
          <cell r="I848">
            <v>311764922.88166702</v>
          </cell>
        </row>
        <row r="849">
          <cell r="A849" t="str">
            <v>356JBG</v>
          </cell>
          <cell r="B849">
            <v>356</v>
          </cell>
          <cell r="C849" t="str">
            <v>JBG</v>
          </cell>
          <cell r="D849">
            <v>13943833.695833299</v>
          </cell>
          <cell r="F849" t="str">
            <v>356JBG</v>
          </cell>
          <cell r="G849">
            <v>356</v>
          </cell>
          <cell r="H849" t="str">
            <v>JBG</v>
          </cell>
          <cell r="I849">
            <v>13943833.695833299</v>
          </cell>
        </row>
        <row r="850">
          <cell r="A850" t="str">
            <v>356SG</v>
          </cell>
          <cell r="B850">
            <v>356</v>
          </cell>
          <cell r="C850" t="str">
            <v>SG</v>
          </cell>
          <cell r="D850">
            <v>1509969.63</v>
          </cell>
          <cell r="F850" t="str">
            <v>356SG</v>
          </cell>
          <cell r="G850">
            <v>356</v>
          </cell>
          <cell r="H850" t="str">
            <v>SG</v>
          </cell>
          <cell r="I850">
            <v>1509969.63</v>
          </cell>
        </row>
        <row r="851">
          <cell r="A851" t="str">
            <v>357CAGE</v>
          </cell>
          <cell r="B851">
            <v>357</v>
          </cell>
          <cell r="C851" t="str">
            <v>CAGE</v>
          </cell>
          <cell r="D851">
            <v>3346255.86</v>
          </cell>
          <cell r="F851" t="str">
            <v>357CAGE</v>
          </cell>
          <cell r="G851">
            <v>357</v>
          </cell>
          <cell r="H851" t="str">
            <v>CAGE</v>
          </cell>
          <cell r="I851">
            <v>3346255.86</v>
          </cell>
        </row>
        <row r="852">
          <cell r="A852" t="str">
            <v>357CAGW</v>
          </cell>
          <cell r="B852">
            <v>357</v>
          </cell>
          <cell r="C852" t="str">
            <v>CAGW</v>
          </cell>
          <cell r="D852">
            <v>206595.469166667</v>
          </cell>
          <cell r="F852" t="str">
            <v>357CAGW</v>
          </cell>
          <cell r="G852">
            <v>357</v>
          </cell>
          <cell r="H852" t="str">
            <v>CAGW</v>
          </cell>
          <cell r="I852">
            <v>206595.469166667</v>
          </cell>
        </row>
        <row r="853">
          <cell r="A853" t="str">
            <v>358CAGE</v>
          </cell>
          <cell r="B853">
            <v>358</v>
          </cell>
          <cell r="C853" t="str">
            <v>CAGE</v>
          </cell>
          <cell r="D853">
            <v>7728791.7400000002</v>
          </cell>
          <cell r="F853" t="str">
            <v>358CAGE</v>
          </cell>
          <cell r="G853">
            <v>358</v>
          </cell>
          <cell r="H853" t="str">
            <v>CAGE</v>
          </cell>
          <cell r="I853">
            <v>7728791.7400000002</v>
          </cell>
        </row>
        <row r="854">
          <cell r="A854" t="str">
            <v>358CAGW</v>
          </cell>
          <cell r="B854">
            <v>358</v>
          </cell>
          <cell r="C854" t="str">
            <v>CAGW</v>
          </cell>
          <cell r="D854">
            <v>306562.21999999997</v>
          </cell>
          <cell r="F854" t="str">
            <v>358CAGW</v>
          </cell>
          <cell r="G854">
            <v>358</v>
          </cell>
          <cell r="H854" t="str">
            <v>CAGW</v>
          </cell>
          <cell r="I854">
            <v>306562.21999999997</v>
          </cell>
        </row>
        <row r="855">
          <cell r="A855" t="str">
            <v>359CAGE</v>
          </cell>
          <cell r="B855">
            <v>359</v>
          </cell>
          <cell r="C855" t="str">
            <v>CAGE</v>
          </cell>
          <cell r="D855">
            <v>4861159.43</v>
          </cell>
          <cell r="F855" t="str">
            <v>359CAGE</v>
          </cell>
          <cell r="G855">
            <v>359</v>
          </cell>
          <cell r="H855" t="str">
            <v>CAGE</v>
          </cell>
          <cell r="I855">
            <v>4861159.43</v>
          </cell>
        </row>
        <row r="856">
          <cell r="A856" t="str">
            <v>359CAGW</v>
          </cell>
          <cell r="B856">
            <v>359</v>
          </cell>
          <cell r="C856" t="str">
            <v>CAGW</v>
          </cell>
          <cell r="D856">
            <v>7055228.5300000003</v>
          </cell>
          <cell r="F856" t="str">
            <v>359CAGW</v>
          </cell>
          <cell r="G856">
            <v>359</v>
          </cell>
          <cell r="H856" t="str">
            <v>CAGW</v>
          </cell>
          <cell r="I856">
            <v>7055228.5300000003</v>
          </cell>
        </row>
        <row r="857">
          <cell r="A857" t="str">
            <v>359JBG</v>
          </cell>
          <cell r="B857">
            <v>359</v>
          </cell>
          <cell r="C857" t="str">
            <v>JBG</v>
          </cell>
          <cell r="D857">
            <v>4929.3900000000003</v>
          </cell>
          <cell r="F857" t="str">
            <v>359JBG</v>
          </cell>
          <cell r="G857">
            <v>359</v>
          </cell>
          <cell r="H857" t="str">
            <v>JBG</v>
          </cell>
          <cell r="I857">
            <v>4929.3900000000003</v>
          </cell>
        </row>
        <row r="858">
          <cell r="A858" t="str">
            <v>359SG</v>
          </cell>
          <cell r="B858">
            <v>359</v>
          </cell>
          <cell r="C858" t="str">
            <v>SG</v>
          </cell>
          <cell r="D858">
            <v>15883.01</v>
          </cell>
          <cell r="F858" t="str">
            <v>359SG</v>
          </cell>
          <cell r="G858">
            <v>359</v>
          </cell>
          <cell r="H858" t="str">
            <v>SG</v>
          </cell>
          <cell r="I858">
            <v>15883.01</v>
          </cell>
        </row>
        <row r="859">
          <cell r="A859" t="str">
            <v>360CA</v>
          </cell>
          <cell r="B859">
            <v>360</v>
          </cell>
          <cell r="C859" t="str">
            <v>CA</v>
          </cell>
          <cell r="D859">
            <v>1820154.99083333</v>
          </cell>
          <cell r="F859" t="str">
            <v>360CA</v>
          </cell>
          <cell r="G859">
            <v>360</v>
          </cell>
          <cell r="H859" t="str">
            <v>CA</v>
          </cell>
          <cell r="I859">
            <v>1820154.99083333</v>
          </cell>
        </row>
        <row r="860">
          <cell r="A860" t="str">
            <v>360ID</v>
          </cell>
          <cell r="B860">
            <v>360</v>
          </cell>
          <cell r="C860" t="str">
            <v>ID</v>
          </cell>
          <cell r="D860">
            <v>1835078.0029166699</v>
          </cell>
          <cell r="F860" t="str">
            <v>360ID</v>
          </cell>
          <cell r="G860">
            <v>360</v>
          </cell>
          <cell r="H860" t="str">
            <v>ID</v>
          </cell>
          <cell r="I860">
            <v>1835078.0029166699</v>
          </cell>
        </row>
        <row r="861">
          <cell r="A861" t="str">
            <v>360OR</v>
          </cell>
          <cell r="B861">
            <v>360</v>
          </cell>
          <cell r="C861" t="str">
            <v>OR</v>
          </cell>
          <cell r="D861">
            <v>14183782.412916699</v>
          </cell>
          <cell r="F861" t="str">
            <v>360OR</v>
          </cell>
          <cell r="G861">
            <v>360</v>
          </cell>
          <cell r="H861" t="str">
            <v>OR</v>
          </cell>
          <cell r="I861">
            <v>14183782.412916699</v>
          </cell>
        </row>
        <row r="862">
          <cell r="A862" t="str">
            <v>360UT</v>
          </cell>
          <cell r="B862">
            <v>360</v>
          </cell>
          <cell r="C862" t="str">
            <v>UT</v>
          </cell>
          <cell r="D862">
            <v>37146585.450000003</v>
          </cell>
          <cell r="F862" t="str">
            <v>360UT</v>
          </cell>
          <cell r="G862">
            <v>360</v>
          </cell>
          <cell r="H862" t="str">
            <v>UT</v>
          </cell>
          <cell r="I862">
            <v>37146585.450000003</v>
          </cell>
        </row>
        <row r="863">
          <cell r="A863" t="str">
            <v>360WA</v>
          </cell>
          <cell r="B863">
            <v>360</v>
          </cell>
          <cell r="C863" t="str">
            <v>WA</v>
          </cell>
          <cell r="D863">
            <v>1867618.8983333299</v>
          </cell>
          <cell r="F863" t="str">
            <v>360WA</v>
          </cell>
          <cell r="G863">
            <v>360</v>
          </cell>
          <cell r="H863" t="str">
            <v>WA</v>
          </cell>
          <cell r="I863">
            <v>1867618.8983333299</v>
          </cell>
        </row>
        <row r="864">
          <cell r="A864" t="str">
            <v>360WYP</v>
          </cell>
          <cell r="B864">
            <v>360</v>
          </cell>
          <cell r="C864" t="str">
            <v>WYP</v>
          </cell>
          <cell r="D864">
            <v>2842264.64</v>
          </cell>
          <cell r="F864" t="str">
            <v>360WYP</v>
          </cell>
          <cell r="G864">
            <v>360</v>
          </cell>
          <cell r="H864" t="str">
            <v>WYP</v>
          </cell>
          <cell r="I864">
            <v>2842264.64</v>
          </cell>
        </row>
        <row r="865">
          <cell r="A865" t="str">
            <v>360WYU</v>
          </cell>
          <cell r="B865">
            <v>360</v>
          </cell>
          <cell r="C865" t="str">
            <v>WYU</v>
          </cell>
          <cell r="D865">
            <v>4065497.66</v>
          </cell>
          <cell r="F865" t="str">
            <v>360WYU</v>
          </cell>
          <cell r="G865">
            <v>360</v>
          </cell>
          <cell r="H865" t="str">
            <v>WYU</v>
          </cell>
          <cell r="I865">
            <v>4065497.66</v>
          </cell>
        </row>
        <row r="866">
          <cell r="A866" t="str">
            <v>361CA</v>
          </cell>
          <cell r="B866">
            <v>361</v>
          </cell>
          <cell r="C866" t="str">
            <v>CA</v>
          </cell>
          <cell r="D866">
            <v>5188026.8791666701</v>
          </cell>
          <cell r="F866" t="str">
            <v>361CA</v>
          </cell>
          <cell r="G866">
            <v>361</v>
          </cell>
          <cell r="H866" t="str">
            <v>CA</v>
          </cell>
          <cell r="I866">
            <v>5188026.8791666701</v>
          </cell>
        </row>
        <row r="867">
          <cell r="A867" t="str">
            <v>361ID</v>
          </cell>
          <cell r="B867">
            <v>361</v>
          </cell>
          <cell r="C867" t="str">
            <v>ID</v>
          </cell>
          <cell r="D867">
            <v>2985440.1462500002</v>
          </cell>
          <cell r="F867" t="str">
            <v>361ID</v>
          </cell>
          <cell r="G867">
            <v>361</v>
          </cell>
          <cell r="H867" t="str">
            <v>ID</v>
          </cell>
          <cell r="I867">
            <v>2985440.1462500002</v>
          </cell>
        </row>
        <row r="868">
          <cell r="A868" t="str">
            <v>361OR</v>
          </cell>
          <cell r="B868">
            <v>361</v>
          </cell>
          <cell r="C868" t="str">
            <v>OR</v>
          </cell>
          <cell r="D868">
            <v>31826430.030000001</v>
          </cell>
          <cell r="F868" t="str">
            <v>361OR</v>
          </cell>
          <cell r="G868">
            <v>361</v>
          </cell>
          <cell r="H868" t="str">
            <v>OR</v>
          </cell>
          <cell r="I868">
            <v>31826430.030000001</v>
          </cell>
        </row>
        <row r="869">
          <cell r="A869" t="str">
            <v>361UT</v>
          </cell>
          <cell r="B869">
            <v>361</v>
          </cell>
          <cell r="C869" t="str">
            <v>UT</v>
          </cell>
          <cell r="D869">
            <v>57595930.326666698</v>
          </cell>
          <cell r="F869" t="str">
            <v>361UT</v>
          </cell>
          <cell r="G869">
            <v>361</v>
          </cell>
          <cell r="H869" t="str">
            <v>UT</v>
          </cell>
          <cell r="I869">
            <v>57595930.326666698</v>
          </cell>
        </row>
        <row r="870">
          <cell r="A870" t="str">
            <v>361WA</v>
          </cell>
          <cell r="B870">
            <v>361</v>
          </cell>
          <cell r="C870" t="str">
            <v>WA</v>
          </cell>
          <cell r="D870">
            <v>5352850.8408333296</v>
          </cell>
          <cell r="F870" t="str">
            <v>361WA</v>
          </cell>
          <cell r="G870">
            <v>361</v>
          </cell>
          <cell r="H870" t="str">
            <v>WA</v>
          </cell>
          <cell r="I870">
            <v>5352850.8408333296</v>
          </cell>
        </row>
        <row r="871">
          <cell r="A871" t="str">
            <v>361WYP</v>
          </cell>
          <cell r="B871">
            <v>361</v>
          </cell>
          <cell r="C871" t="str">
            <v>WYP</v>
          </cell>
          <cell r="D871">
            <v>12232585.466250001</v>
          </cell>
          <cell r="F871" t="str">
            <v>361WYP</v>
          </cell>
          <cell r="G871">
            <v>361</v>
          </cell>
          <cell r="H871" t="str">
            <v>WYP</v>
          </cell>
          <cell r="I871">
            <v>12232585.466250001</v>
          </cell>
        </row>
        <row r="872">
          <cell r="A872" t="str">
            <v>361WYU</v>
          </cell>
          <cell r="B872">
            <v>361</v>
          </cell>
          <cell r="C872" t="str">
            <v>WYU</v>
          </cell>
          <cell r="D872">
            <v>4811675.32</v>
          </cell>
          <cell r="F872" t="str">
            <v>361WYU</v>
          </cell>
          <cell r="G872">
            <v>361</v>
          </cell>
          <cell r="H872" t="str">
            <v>WYU</v>
          </cell>
          <cell r="I872">
            <v>4811675.32</v>
          </cell>
        </row>
        <row r="873">
          <cell r="A873" t="str">
            <v>362CA</v>
          </cell>
          <cell r="B873">
            <v>362</v>
          </cell>
          <cell r="C873" t="str">
            <v>CA</v>
          </cell>
          <cell r="D873">
            <v>29768515.785833299</v>
          </cell>
          <cell r="F873" t="str">
            <v>362CA</v>
          </cell>
          <cell r="G873">
            <v>362</v>
          </cell>
          <cell r="H873" t="str">
            <v>CA</v>
          </cell>
          <cell r="I873">
            <v>29768515.785833299</v>
          </cell>
        </row>
        <row r="874">
          <cell r="A874" t="str">
            <v>362ID</v>
          </cell>
          <cell r="B874">
            <v>362</v>
          </cell>
          <cell r="C874" t="str">
            <v>ID</v>
          </cell>
          <cell r="D874">
            <v>35183341.28125</v>
          </cell>
          <cell r="F874" t="str">
            <v>362ID</v>
          </cell>
          <cell r="G874">
            <v>362</v>
          </cell>
          <cell r="H874" t="str">
            <v>ID</v>
          </cell>
          <cell r="I874">
            <v>35183341.28125</v>
          </cell>
        </row>
        <row r="875">
          <cell r="A875" t="str">
            <v>362OR</v>
          </cell>
          <cell r="B875">
            <v>362</v>
          </cell>
          <cell r="C875" t="str">
            <v>OR</v>
          </cell>
          <cell r="D875">
            <v>256017266.23374999</v>
          </cell>
          <cell r="F875" t="str">
            <v>362OR</v>
          </cell>
          <cell r="G875">
            <v>362</v>
          </cell>
          <cell r="H875" t="str">
            <v>OR</v>
          </cell>
          <cell r="I875">
            <v>256017266.23374999</v>
          </cell>
        </row>
        <row r="876">
          <cell r="A876" t="str">
            <v>362UT</v>
          </cell>
          <cell r="B876">
            <v>362</v>
          </cell>
          <cell r="C876" t="str">
            <v>UT</v>
          </cell>
          <cell r="D876">
            <v>481258650.70375001</v>
          </cell>
          <cell r="F876" t="str">
            <v>362UT</v>
          </cell>
          <cell r="G876">
            <v>362</v>
          </cell>
          <cell r="H876" t="str">
            <v>UT</v>
          </cell>
          <cell r="I876">
            <v>481258650.70375001</v>
          </cell>
        </row>
        <row r="877">
          <cell r="A877" t="str">
            <v>362WA</v>
          </cell>
          <cell r="B877">
            <v>362</v>
          </cell>
          <cell r="C877" t="str">
            <v>WA</v>
          </cell>
          <cell r="D877">
            <v>73441693.982083306</v>
          </cell>
          <cell r="F877" t="str">
            <v>362WA</v>
          </cell>
          <cell r="G877">
            <v>362</v>
          </cell>
          <cell r="H877" t="str">
            <v>WA</v>
          </cell>
          <cell r="I877">
            <v>73441693.982083306</v>
          </cell>
        </row>
        <row r="878">
          <cell r="A878" t="str">
            <v>362WYP</v>
          </cell>
          <cell r="B878">
            <v>362</v>
          </cell>
          <cell r="C878" t="str">
            <v>WYP</v>
          </cell>
          <cell r="D878">
            <v>118882144.005417</v>
          </cell>
          <cell r="F878" t="str">
            <v>362WYP</v>
          </cell>
          <cell r="G878">
            <v>362</v>
          </cell>
          <cell r="H878" t="str">
            <v>WYP</v>
          </cell>
          <cell r="I878">
            <v>118882144.005417</v>
          </cell>
        </row>
        <row r="879">
          <cell r="A879" t="str">
            <v>362WYU</v>
          </cell>
          <cell r="B879">
            <v>362</v>
          </cell>
          <cell r="C879" t="str">
            <v>WYU</v>
          </cell>
          <cell r="D879">
            <v>18475836.884166699</v>
          </cell>
          <cell r="F879" t="str">
            <v>362WYU</v>
          </cell>
          <cell r="G879">
            <v>362</v>
          </cell>
          <cell r="H879" t="str">
            <v>WYU</v>
          </cell>
          <cell r="I879">
            <v>18475836.884166699</v>
          </cell>
        </row>
        <row r="880">
          <cell r="A880" t="str">
            <v>364CA</v>
          </cell>
          <cell r="B880">
            <v>364</v>
          </cell>
          <cell r="C880" t="str">
            <v>CA</v>
          </cell>
          <cell r="D880">
            <v>67915571.0591667</v>
          </cell>
          <cell r="F880" t="str">
            <v>364CA</v>
          </cell>
          <cell r="G880">
            <v>364</v>
          </cell>
          <cell r="H880" t="str">
            <v>CA</v>
          </cell>
          <cell r="I880">
            <v>67915571.0591667</v>
          </cell>
        </row>
        <row r="881">
          <cell r="A881" t="str">
            <v>364ID</v>
          </cell>
          <cell r="B881">
            <v>364</v>
          </cell>
          <cell r="C881" t="str">
            <v>ID</v>
          </cell>
          <cell r="D881">
            <v>91096971.675416693</v>
          </cell>
          <cell r="F881" t="str">
            <v>364ID</v>
          </cell>
          <cell r="G881">
            <v>364</v>
          </cell>
          <cell r="H881" t="str">
            <v>ID</v>
          </cell>
          <cell r="I881">
            <v>91096971.675416693</v>
          </cell>
        </row>
        <row r="882">
          <cell r="A882" t="str">
            <v>364OR</v>
          </cell>
          <cell r="B882">
            <v>364</v>
          </cell>
          <cell r="C882" t="str">
            <v>OR</v>
          </cell>
          <cell r="D882">
            <v>389616569.36916697</v>
          </cell>
          <cell r="F882" t="str">
            <v>364OR</v>
          </cell>
          <cell r="G882">
            <v>364</v>
          </cell>
          <cell r="H882" t="str">
            <v>OR</v>
          </cell>
          <cell r="I882">
            <v>389616569.36916697</v>
          </cell>
        </row>
        <row r="883">
          <cell r="A883" t="str">
            <v>364UT</v>
          </cell>
          <cell r="B883">
            <v>364</v>
          </cell>
          <cell r="C883" t="str">
            <v>UT</v>
          </cell>
          <cell r="D883">
            <v>392733339.96958297</v>
          </cell>
          <cell r="F883" t="str">
            <v>364UT</v>
          </cell>
          <cell r="G883">
            <v>364</v>
          </cell>
          <cell r="H883" t="str">
            <v>UT</v>
          </cell>
          <cell r="I883">
            <v>392733339.96958297</v>
          </cell>
        </row>
        <row r="884">
          <cell r="A884" t="str">
            <v>364WA</v>
          </cell>
          <cell r="B884">
            <v>364</v>
          </cell>
          <cell r="C884" t="str">
            <v>WA</v>
          </cell>
          <cell r="D884">
            <v>109312458.738333</v>
          </cell>
          <cell r="F884" t="str">
            <v>364WA</v>
          </cell>
          <cell r="G884">
            <v>364</v>
          </cell>
          <cell r="H884" t="str">
            <v>WA</v>
          </cell>
          <cell r="I884">
            <v>109312458.738333</v>
          </cell>
        </row>
        <row r="885">
          <cell r="A885" t="str">
            <v>364WYP</v>
          </cell>
          <cell r="B885">
            <v>364</v>
          </cell>
          <cell r="C885" t="str">
            <v>WYP</v>
          </cell>
          <cell r="D885">
            <v>133233569.899167</v>
          </cell>
          <cell r="F885" t="str">
            <v>364WYP</v>
          </cell>
          <cell r="G885">
            <v>364</v>
          </cell>
          <cell r="H885" t="str">
            <v>WYP</v>
          </cell>
          <cell r="I885">
            <v>133233569.899167</v>
          </cell>
        </row>
        <row r="886">
          <cell r="A886" t="str">
            <v>364WYU</v>
          </cell>
          <cell r="B886">
            <v>364</v>
          </cell>
          <cell r="C886" t="str">
            <v>WYU</v>
          </cell>
          <cell r="D886">
            <v>28115307.387499999</v>
          </cell>
          <cell r="F886" t="str">
            <v>364WYU</v>
          </cell>
          <cell r="G886">
            <v>364</v>
          </cell>
          <cell r="H886" t="str">
            <v>WYU</v>
          </cell>
          <cell r="I886">
            <v>28115307.387499999</v>
          </cell>
        </row>
        <row r="887">
          <cell r="A887" t="str">
            <v>365CA</v>
          </cell>
          <cell r="B887">
            <v>365</v>
          </cell>
          <cell r="C887" t="str">
            <v>CA</v>
          </cell>
          <cell r="D887">
            <v>35820428.285833299</v>
          </cell>
          <cell r="F887" t="str">
            <v>365CA</v>
          </cell>
          <cell r="G887">
            <v>365</v>
          </cell>
          <cell r="H887" t="str">
            <v>CA</v>
          </cell>
          <cell r="I887">
            <v>35820428.285833299</v>
          </cell>
        </row>
        <row r="888">
          <cell r="A888" t="str">
            <v>365ID</v>
          </cell>
          <cell r="B888">
            <v>365</v>
          </cell>
          <cell r="C888" t="str">
            <v>ID</v>
          </cell>
          <cell r="D888">
            <v>39121972.117916703</v>
          </cell>
          <cell r="F888" t="str">
            <v>365ID</v>
          </cell>
          <cell r="G888">
            <v>365</v>
          </cell>
          <cell r="H888" t="str">
            <v>ID</v>
          </cell>
          <cell r="I888">
            <v>39121972.117916703</v>
          </cell>
        </row>
        <row r="889">
          <cell r="A889" t="str">
            <v>365OR</v>
          </cell>
          <cell r="B889">
            <v>365</v>
          </cell>
          <cell r="C889" t="str">
            <v>OR</v>
          </cell>
          <cell r="D889">
            <v>268416679.70375001</v>
          </cell>
          <cell r="F889" t="str">
            <v>365OR</v>
          </cell>
          <cell r="G889">
            <v>365</v>
          </cell>
          <cell r="H889" t="str">
            <v>OR</v>
          </cell>
          <cell r="I889">
            <v>268416679.70375001</v>
          </cell>
        </row>
        <row r="890">
          <cell r="A890" t="str">
            <v>365UT</v>
          </cell>
          <cell r="B890">
            <v>365</v>
          </cell>
          <cell r="C890" t="str">
            <v>UT</v>
          </cell>
          <cell r="D890">
            <v>241092723.63499999</v>
          </cell>
          <cell r="F890" t="str">
            <v>365UT</v>
          </cell>
          <cell r="G890">
            <v>365</v>
          </cell>
          <cell r="H890" t="str">
            <v>UT</v>
          </cell>
          <cell r="I890">
            <v>241092723.63499999</v>
          </cell>
        </row>
        <row r="891">
          <cell r="A891" t="str">
            <v>365WA</v>
          </cell>
          <cell r="B891">
            <v>365</v>
          </cell>
          <cell r="C891" t="str">
            <v>WA</v>
          </cell>
          <cell r="D891">
            <v>73536936.204583302</v>
          </cell>
          <cell r="F891" t="str">
            <v>365WA</v>
          </cell>
          <cell r="G891">
            <v>365</v>
          </cell>
          <cell r="H891" t="str">
            <v>WA</v>
          </cell>
          <cell r="I891">
            <v>73536936.204583302</v>
          </cell>
        </row>
        <row r="892">
          <cell r="A892" t="str">
            <v>365WYP</v>
          </cell>
          <cell r="B892">
            <v>365</v>
          </cell>
          <cell r="C892" t="str">
            <v>WYP</v>
          </cell>
          <cell r="D892">
            <v>99537371.989166707</v>
          </cell>
          <cell r="F892" t="str">
            <v>365WYP</v>
          </cell>
          <cell r="G892">
            <v>365</v>
          </cell>
          <cell r="H892" t="str">
            <v>WYP</v>
          </cell>
          <cell r="I892">
            <v>99537371.989166707</v>
          </cell>
        </row>
        <row r="893">
          <cell r="A893" t="str">
            <v>365WYU</v>
          </cell>
          <cell r="B893">
            <v>365</v>
          </cell>
          <cell r="C893" t="str">
            <v>WYU</v>
          </cell>
          <cell r="D893">
            <v>13939287.1</v>
          </cell>
          <cell r="F893" t="str">
            <v>365WYU</v>
          </cell>
          <cell r="G893">
            <v>365</v>
          </cell>
          <cell r="H893" t="str">
            <v>WYU</v>
          </cell>
          <cell r="I893">
            <v>13939287.1</v>
          </cell>
        </row>
        <row r="894">
          <cell r="A894" t="str">
            <v>366CA</v>
          </cell>
          <cell r="B894">
            <v>366</v>
          </cell>
          <cell r="C894" t="str">
            <v>CA</v>
          </cell>
          <cell r="D894">
            <v>17994330.770833299</v>
          </cell>
          <cell r="F894" t="str">
            <v>366CA</v>
          </cell>
          <cell r="G894">
            <v>366</v>
          </cell>
          <cell r="H894" t="str">
            <v>CA</v>
          </cell>
          <cell r="I894">
            <v>17994330.770833299</v>
          </cell>
        </row>
        <row r="895">
          <cell r="A895" t="str">
            <v>366ID</v>
          </cell>
          <cell r="B895">
            <v>366</v>
          </cell>
          <cell r="C895" t="str">
            <v>ID</v>
          </cell>
          <cell r="D895">
            <v>10313791.695833299</v>
          </cell>
          <cell r="F895" t="str">
            <v>366ID</v>
          </cell>
          <cell r="G895">
            <v>366</v>
          </cell>
          <cell r="H895" t="str">
            <v>ID</v>
          </cell>
          <cell r="I895">
            <v>10313791.695833299</v>
          </cell>
        </row>
        <row r="896">
          <cell r="A896" t="str">
            <v>366OR</v>
          </cell>
          <cell r="B896">
            <v>366</v>
          </cell>
          <cell r="C896" t="str">
            <v>OR</v>
          </cell>
          <cell r="D896">
            <v>96666420.010833293</v>
          </cell>
          <cell r="F896" t="str">
            <v>366OR</v>
          </cell>
          <cell r="G896">
            <v>366</v>
          </cell>
          <cell r="H896" t="str">
            <v>OR</v>
          </cell>
          <cell r="I896">
            <v>96666420.010833293</v>
          </cell>
        </row>
        <row r="897">
          <cell r="A897" t="str">
            <v>366UT</v>
          </cell>
          <cell r="B897">
            <v>366</v>
          </cell>
          <cell r="C897" t="str">
            <v>UT</v>
          </cell>
          <cell r="D897">
            <v>209193763.62208301</v>
          </cell>
          <cell r="F897" t="str">
            <v>366UT</v>
          </cell>
          <cell r="G897">
            <v>366</v>
          </cell>
          <cell r="H897" t="str">
            <v>UT</v>
          </cell>
          <cell r="I897">
            <v>209193763.62208301</v>
          </cell>
        </row>
        <row r="898">
          <cell r="A898" t="str">
            <v>366WA</v>
          </cell>
          <cell r="B898">
            <v>366</v>
          </cell>
          <cell r="C898" t="str">
            <v>WA</v>
          </cell>
          <cell r="D898">
            <v>18725344.276666701</v>
          </cell>
          <cell r="F898" t="str">
            <v>366WA</v>
          </cell>
          <cell r="G898">
            <v>366</v>
          </cell>
          <cell r="H898" t="str">
            <v>WA</v>
          </cell>
          <cell r="I898">
            <v>18725344.276666701</v>
          </cell>
        </row>
        <row r="899">
          <cell r="A899" t="str">
            <v>366WYP</v>
          </cell>
          <cell r="B899">
            <v>366</v>
          </cell>
          <cell r="C899" t="str">
            <v>WYP</v>
          </cell>
          <cell r="D899">
            <v>24299720.233750001</v>
          </cell>
          <cell r="F899" t="str">
            <v>366WYP</v>
          </cell>
          <cell r="G899">
            <v>366</v>
          </cell>
          <cell r="H899" t="str">
            <v>WYP</v>
          </cell>
          <cell r="I899">
            <v>24299720.233750001</v>
          </cell>
        </row>
        <row r="900">
          <cell r="A900" t="str">
            <v>366WYU</v>
          </cell>
          <cell r="B900">
            <v>366</v>
          </cell>
          <cell r="C900" t="str">
            <v>WYU</v>
          </cell>
          <cell r="D900">
            <v>5023530.4570833296</v>
          </cell>
          <cell r="F900" t="str">
            <v>366WYU</v>
          </cell>
          <cell r="G900">
            <v>366</v>
          </cell>
          <cell r="H900" t="str">
            <v>WYU</v>
          </cell>
          <cell r="I900">
            <v>5023530.4570833296</v>
          </cell>
        </row>
        <row r="901">
          <cell r="A901" t="str">
            <v>367CA</v>
          </cell>
          <cell r="B901">
            <v>367</v>
          </cell>
          <cell r="C901" t="str">
            <v>CA</v>
          </cell>
          <cell r="D901">
            <v>20215525.071666699</v>
          </cell>
          <cell r="F901" t="str">
            <v>367CA</v>
          </cell>
          <cell r="G901">
            <v>367</v>
          </cell>
          <cell r="H901" t="str">
            <v>CA</v>
          </cell>
          <cell r="I901">
            <v>20215525.071666699</v>
          </cell>
        </row>
        <row r="902">
          <cell r="A902" t="str">
            <v>367ID</v>
          </cell>
          <cell r="B902">
            <v>367</v>
          </cell>
          <cell r="C902" t="str">
            <v>ID</v>
          </cell>
          <cell r="D902">
            <v>28652053.081666701</v>
          </cell>
          <cell r="F902" t="str">
            <v>367ID</v>
          </cell>
          <cell r="G902">
            <v>367</v>
          </cell>
          <cell r="H902" t="str">
            <v>ID</v>
          </cell>
          <cell r="I902">
            <v>28652053.081666701</v>
          </cell>
        </row>
        <row r="903">
          <cell r="A903" t="str">
            <v>367OR</v>
          </cell>
          <cell r="B903">
            <v>367</v>
          </cell>
          <cell r="C903" t="str">
            <v>OR</v>
          </cell>
          <cell r="D903">
            <v>187712850.78541699</v>
          </cell>
          <cell r="F903" t="str">
            <v>367OR</v>
          </cell>
          <cell r="G903">
            <v>367</v>
          </cell>
          <cell r="H903" t="str">
            <v>OR</v>
          </cell>
          <cell r="I903">
            <v>187712850.78541699</v>
          </cell>
        </row>
        <row r="904">
          <cell r="A904" t="str">
            <v>367UT</v>
          </cell>
          <cell r="B904">
            <v>367</v>
          </cell>
          <cell r="C904" t="str">
            <v>UT</v>
          </cell>
          <cell r="D904">
            <v>562916220.61916697</v>
          </cell>
          <cell r="F904" t="str">
            <v>367UT</v>
          </cell>
          <cell r="G904">
            <v>367</v>
          </cell>
          <cell r="H904" t="str">
            <v>UT</v>
          </cell>
          <cell r="I904">
            <v>562916220.61916697</v>
          </cell>
        </row>
        <row r="905">
          <cell r="A905" t="str">
            <v>367WA</v>
          </cell>
          <cell r="B905">
            <v>367</v>
          </cell>
          <cell r="C905" t="str">
            <v>WA</v>
          </cell>
          <cell r="D905">
            <v>28835890.801666699</v>
          </cell>
          <cell r="F905" t="str">
            <v>367WA</v>
          </cell>
          <cell r="G905">
            <v>367</v>
          </cell>
          <cell r="H905" t="str">
            <v>WA</v>
          </cell>
          <cell r="I905">
            <v>28835890.801666699</v>
          </cell>
        </row>
        <row r="906">
          <cell r="A906" t="str">
            <v>367WYP</v>
          </cell>
          <cell r="B906">
            <v>367</v>
          </cell>
          <cell r="C906" t="str">
            <v>WYP</v>
          </cell>
          <cell r="D906">
            <v>45801377.956249997</v>
          </cell>
          <cell r="F906" t="str">
            <v>367WYP</v>
          </cell>
          <cell r="G906">
            <v>367</v>
          </cell>
          <cell r="H906" t="str">
            <v>WYP</v>
          </cell>
          <cell r="I906">
            <v>45801377.956249997</v>
          </cell>
        </row>
        <row r="907">
          <cell r="A907" t="str">
            <v>367WYU</v>
          </cell>
          <cell r="B907">
            <v>367</v>
          </cell>
          <cell r="C907" t="str">
            <v>WYU</v>
          </cell>
          <cell r="D907">
            <v>18435791.76125</v>
          </cell>
          <cell r="F907" t="str">
            <v>367WYU</v>
          </cell>
          <cell r="G907">
            <v>367</v>
          </cell>
          <cell r="H907" t="str">
            <v>WYU</v>
          </cell>
          <cell r="I907">
            <v>18435791.76125</v>
          </cell>
        </row>
        <row r="908">
          <cell r="A908" t="str">
            <v>368CA</v>
          </cell>
          <cell r="B908">
            <v>368</v>
          </cell>
          <cell r="C908" t="str">
            <v>CA</v>
          </cell>
          <cell r="D908">
            <v>54532409.9645833</v>
          </cell>
          <cell r="F908" t="str">
            <v>368CA</v>
          </cell>
          <cell r="G908">
            <v>368</v>
          </cell>
          <cell r="H908" t="str">
            <v>CA</v>
          </cell>
          <cell r="I908">
            <v>54532409.9645833</v>
          </cell>
        </row>
        <row r="909">
          <cell r="A909" t="str">
            <v>368ID</v>
          </cell>
          <cell r="B909">
            <v>368</v>
          </cell>
          <cell r="C909" t="str">
            <v>ID</v>
          </cell>
          <cell r="D909">
            <v>83427910.119583294</v>
          </cell>
          <cell r="F909" t="str">
            <v>368ID</v>
          </cell>
          <cell r="G909">
            <v>368</v>
          </cell>
          <cell r="H909" t="str">
            <v>ID</v>
          </cell>
          <cell r="I909">
            <v>83427910.119583294</v>
          </cell>
        </row>
        <row r="910">
          <cell r="A910" t="str">
            <v>368OR</v>
          </cell>
          <cell r="B910">
            <v>368</v>
          </cell>
          <cell r="C910" t="str">
            <v>OR</v>
          </cell>
          <cell r="D910">
            <v>455434054.82791698</v>
          </cell>
          <cell r="F910" t="str">
            <v>368OR</v>
          </cell>
          <cell r="G910">
            <v>368</v>
          </cell>
          <cell r="H910" t="str">
            <v>OR</v>
          </cell>
          <cell r="I910">
            <v>455434054.82791698</v>
          </cell>
        </row>
        <row r="911">
          <cell r="A911" t="str">
            <v>368UT</v>
          </cell>
          <cell r="B911">
            <v>368</v>
          </cell>
          <cell r="C911" t="str">
            <v>UT</v>
          </cell>
          <cell r="D911">
            <v>547654867.80999994</v>
          </cell>
          <cell r="F911" t="str">
            <v>368UT</v>
          </cell>
          <cell r="G911">
            <v>368</v>
          </cell>
          <cell r="H911" t="str">
            <v>UT</v>
          </cell>
          <cell r="I911">
            <v>547654867.80999994</v>
          </cell>
        </row>
        <row r="912">
          <cell r="A912" t="str">
            <v>368WA</v>
          </cell>
          <cell r="B912">
            <v>368</v>
          </cell>
          <cell r="C912" t="str">
            <v>WA</v>
          </cell>
          <cell r="D912">
            <v>114594634.652917</v>
          </cell>
          <cell r="F912" t="str">
            <v>368WA</v>
          </cell>
          <cell r="G912">
            <v>368</v>
          </cell>
          <cell r="H912" t="str">
            <v>WA</v>
          </cell>
          <cell r="I912">
            <v>114594634.652917</v>
          </cell>
        </row>
        <row r="913">
          <cell r="A913" t="str">
            <v>368WYP</v>
          </cell>
          <cell r="B913">
            <v>368</v>
          </cell>
          <cell r="C913" t="str">
            <v>WYP</v>
          </cell>
          <cell r="D913">
            <v>109067373.59875</v>
          </cell>
          <cell r="F913" t="str">
            <v>368WYP</v>
          </cell>
          <cell r="G913">
            <v>368</v>
          </cell>
          <cell r="H913" t="str">
            <v>WYP</v>
          </cell>
          <cell r="I913">
            <v>109067373.59875</v>
          </cell>
        </row>
        <row r="914">
          <cell r="A914" t="str">
            <v>368WYU</v>
          </cell>
          <cell r="B914">
            <v>368</v>
          </cell>
          <cell r="C914" t="str">
            <v>WYU</v>
          </cell>
          <cell r="D914">
            <v>15458177.081666701</v>
          </cell>
          <cell r="F914" t="str">
            <v>368WYU</v>
          </cell>
          <cell r="G914">
            <v>368</v>
          </cell>
          <cell r="H914" t="str">
            <v>WYU</v>
          </cell>
          <cell r="I914">
            <v>15458177.081666701</v>
          </cell>
        </row>
        <row r="915">
          <cell r="A915" t="str">
            <v>369CA</v>
          </cell>
          <cell r="B915">
            <v>369</v>
          </cell>
          <cell r="C915" t="str">
            <v>CA</v>
          </cell>
          <cell r="D915">
            <v>26925661.966666698</v>
          </cell>
          <cell r="F915" t="str">
            <v>369CA</v>
          </cell>
          <cell r="G915">
            <v>369</v>
          </cell>
          <cell r="H915" t="str">
            <v>CA</v>
          </cell>
          <cell r="I915">
            <v>26925661.966666698</v>
          </cell>
        </row>
        <row r="916">
          <cell r="A916" t="str">
            <v>369ID</v>
          </cell>
          <cell r="B916">
            <v>369</v>
          </cell>
          <cell r="C916" t="str">
            <v>ID</v>
          </cell>
          <cell r="D916">
            <v>42571430.719583303</v>
          </cell>
          <cell r="F916" t="str">
            <v>369ID</v>
          </cell>
          <cell r="G916">
            <v>369</v>
          </cell>
          <cell r="H916" t="str">
            <v>ID</v>
          </cell>
          <cell r="I916">
            <v>42571430.719583303</v>
          </cell>
        </row>
        <row r="917">
          <cell r="A917" t="str">
            <v>369OR</v>
          </cell>
          <cell r="B917">
            <v>369</v>
          </cell>
          <cell r="C917" t="str">
            <v>OR</v>
          </cell>
          <cell r="D917">
            <v>291922620.77125001</v>
          </cell>
          <cell r="F917" t="str">
            <v>369OR</v>
          </cell>
          <cell r="G917">
            <v>369</v>
          </cell>
          <cell r="H917" t="str">
            <v>OR</v>
          </cell>
          <cell r="I917">
            <v>291922620.77125001</v>
          </cell>
        </row>
        <row r="918">
          <cell r="A918" t="str">
            <v>369UT</v>
          </cell>
          <cell r="B918">
            <v>369</v>
          </cell>
          <cell r="C918" t="str">
            <v>UT</v>
          </cell>
          <cell r="D918">
            <v>324490702.71291697</v>
          </cell>
          <cell r="F918" t="str">
            <v>369UT</v>
          </cell>
          <cell r="G918">
            <v>369</v>
          </cell>
          <cell r="H918" t="str">
            <v>UT</v>
          </cell>
          <cell r="I918">
            <v>324490702.71291697</v>
          </cell>
        </row>
        <row r="919">
          <cell r="A919" t="str">
            <v>369WA</v>
          </cell>
          <cell r="B919">
            <v>369</v>
          </cell>
          <cell r="C919" t="str">
            <v>WA</v>
          </cell>
          <cell r="D919">
            <v>65667255.41375</v>
          </cell>
          <cell r="F919" t="str">
            <v>369WA</v>
          </cell>
          <cell r="G919">
            <v>369</v>
          </cell>
          <cell r="H919" t="str">
            <v>WA</v>
          </cell>
          <cell r="I919">
            <v>65667255.41375</v>
          </cell>
        </row>
        <row r="920">
          <cell r="A920" t="str">
            <v>369WYP</v>
          </cell>
          <cell r="B920">
            <v>369</v>
          </cell>
          <cell r="C920" t="str">
            <v>WYP</v>
          </cell>
          <cell r="D920">
            <v>51660461.879583299</v>
          </cell>
          <cell r="F920" t="str">
            <v>369WYP</v>
          </cell>
          <cell r="G920">
            <v>369</v>
          </cell>
          <cell r="H920" t="str">
            <v>WYP</v>
          </cell>
          <cell r="I920">
            <v>51660461.879583299</v>
          </cell>
        </row>
        <row r="921">
          <cell r="A921" t="str">
            <v>369WYU</v>
          </cell>
          <cell r="B921">
            <v>369</v>
          </cell>
          <cell r="C921" t="str">
            <v>WYU</v>
          </cell>
          <cell r="D921">
            <v>15118851.546250001</v>
          </cell>
          <cell r="F921" t="str">
            <v>369WYU</v>
          </cell>
          <cell r="G921">
            <v>369</v>
          </cell>
          <cell r="H921" t="str">
            <v>WYU</v>
          </cell>
          <cell r="I921">
            <v>15118851.546250001</v>
          </cell>
        </row>
        <row r="922">
          <cell r="A922" t="str">
            <v>370CA</v>
          </cell>
          <cell r="B922">
            <v>370</v>
          </cell>
          <cell r="C922" t="str">
            <v>CA</v>
          </cell>
          <cell r="D922">
            <v>6890210.0412499998</v>
          </cell>
          <cell r="F922" t="str">
            <v>370CA</v>
          </cell>
          <cell r="G922">
            <v>370</v>
          </cell>
          <cell r="H922" t="str">
            <v>CA</v>
          </cell>
          <cell r="I922">
            <v>6890210.0412499998</v>
          </cell>
        </row>
        <row r="923">
          <cell r="A923" t="str">
            <v>370ID</v>
          </cell>
          <cell r="B923">
            <v>370</v>
          </cell>
          <cell r="C923" t="str">
            <v>ID</v>
          </cell>
          <cell r="D923">
            <v>16089372.0975</v>
          </cell>
          <cell r="F923" t="str">
            <v>370ID</v>
          </cell>
          <cell r="G923">
            <v>370</v>
          </cell>
          <cell r="H923" t="str">
            <v>ID</v>
          </cell>
          <cell r="I923">
            <v>16089372.0975</v>
          </cell>
        </row>
        <row r="924">
          <cell r="A924" t="str">
            <v>370OR</v>
          </cell>
          <cell r="B924">
            <v>370</v>
          </cell>
          <cell r="C924" t="str">
            <v>OR</v>
          </cell>
          <cell r="D924">
            <v>84416528.950833306</v>
          </cell>
          <cell r="F924" t="str">
            <v>370OR</v>
          </cell>
          <cell r="G924">
            <v>370</v>
          </cell>
          <cell r="H924" t="str">
            <v>OR</v>
          </cell>
          <cell r="I924">
            <v>84416528.950833306</v>
          </cell>
        </row>
        <row r="925">
          <cell r="A925" t="str">
            <v>370UT</v>
          </cell>
          <cell r="B925">
            <v>370</v>
          </cell>
          <cell r="C925" t="str">
            <v>UT</v>
          </cell>
          <cell r="D925">
            <v>90397735.592500001</v>
          </cell>
          <cell r="F925" t="str">
            <v>370UT</v>
          </cell>
          <cell r="G925">
            <v>370</v>
          </cell>
          <cell r="H925" t="str">
            <v>UT</v>
          </cell>
          <cell r="I925">
            <v>90397735.592500001</v>
          </cell>
        </row>
        <row r="926">
          <cell r="A926" t="str">
            <v>370WA</v>
          </cell>
          <cell r="B926">
            <v>370</v>
          </cell>
          <cell r="C926" t="str">
            <v>WA</v>
          </cell>
          <cell r="D926">
            <v>13089495.787916699</v>
          </cell>
          <cell r="F926" t="str">
            <v>370WA</v>
          </cell>
          <cell r="G926">
            <v>370</v>
          </cell>
          <cell r="H926" t="str">
            <v>WA</v>
          </cell>
          <cell r="I926">
            <v>13089495.787916699</v>
          </cell>
        </row>
        <row r="927">
          <cell r="A927" t="str">
            <v>370WYP</v>
          </cell>
          <cell r="B927">
            <v>370</v>
          </cell>
          <cell r="C927" t="str">
            <v>WYP</v>
          </cell>
          <cell r="D927">
            <v>13405366.0454167</v>
          </cell>
          <cell r="F927" t="str">
            <v>370WYP</v>
          </cell>
          <cell r="G927">
            <v>370</v>
          </cell>
          <cell r="H927" t="str">
            <v>WYP</v>
          </cell>
          <cell r="I927">
            <v>13405366.0454167</v>
          </cell>
        </row>
        <row r="928">
          <cell r="A928" t="str">
            <v>370WYU</v>
          </cell>
          <cell r="B928">
            <v>370</v>
          </cell>
          <cell r="C928" t="str">
            <v>WYU</v>
          </cell>
          <cell r="D928">
            <v>2410557.3279166701</v>
          </cell>
          <cell r="F928" t="str">
            <v>370WYU</v>
          </cell>
          <cell r="G928">
            <v>370</v>
          </cell>
          <cell r="H928" t="str">
            <v>WYU</v>
          </cell>
          <cell r="I928">
            <v>2410557.3279166701</v>
          </cell>
        </row>
        <row r="929">
          <cell r="A929" t="str">
            <v>371CA</v>
          </cell>
          <cell r="B929">
            <v>371</v>
          </cell>
          <cell r="C929" t="str">
            <v>CA</v>
          </cell>
          <cell r="D929">
            <v>277359.43125000002</v>
          </cell>
          <cell r="F929" t="str">
            <v>371CA</v>
          </cell>
          <cell r="G929">
            <v>371</v>
          </cell>
          <cell r="H929" t="str">
            <v>CA</v>
          </cell>
          <cell r="I929">
            <v>277359.43125000002</v>
          </cell>
        </row>
        <row r="930">
          <cell r="A930" t="str">
            <v>371ID</v>
          </cell>
          <cell r="B930">
            <v>371</v>
          </cell>
          <cell r="C930" t="str">
            <v>ID</v>
          </cell>
          <cell r="D930">
            <v>169597.86749999999</v>
          </cell>
          <cell r="F930" t="str">
            <v>371ID</v>
          </cell>
          <cell r="G930">
            <v>371</v>
          </cell>
          <cell r="H930" t="str">
            <v>ID</v>
          </cell>
          <cell r="I930">
            <v>169597.86749999999</v>
          </cell>
        </row>
        <row r="931">
          <cell r="A931" t="str">
            <v>371OR</v>
          </cell>
          <cell r="B931">
            <v>371</v>
          </cell>
          <cell r="C931" t="str">
            <v>OR</v>
          </cell>
          <cell r="D931">
            <v>2637444.4708333299</v>
          </cell>
          <cell r="F931" t="str">
            <v>371OR</v>
          </cell>
          <cell r="G931">
            <v>371</v>
          </cell>
          <cell r="H931" t="str">
            <v>OR</v>
          </cell>
          <cell r="I931">
            <v>2637444.4708333299</v>
          </cell>
        </row>
        <row r="932">
          <cell r="A932" t="str">
            <v>371UT</v>
          </cell>
          <cell r="B932">
            <v>371</v>
          </cell>
          <cell r="C932" t="str">
            <v>UT</v>
          </cell>
          <cell r="D932">
            <v>4237930.44625</v>
          </cell>
          <cell r="F932" t="str">
            <v>371UT</v>
          </cell>
          <cell r="G932">
            <v>371</v>
          </cell>
          <cell r="H932" t="str">
            <v>UT</v>
          </cell>
          <cell r="I932">
            <v>4237930.44625</v>
          </cell>
        </row>
        <row r="933">
          <cell r="A933" t="str">
            <v>371WA</v>
          </cell>
          <cell r="B933">
            <v>371</v>
          </cell>
          <cell r="C933" t="str">
            <v>WA</v>
          </cell>
          <cell r="D933">
            <v>509552.01750000002</v>
          </cell>
          <cell r="F933" t="str">
            <v>371WA</v>
          </cell>
          <cell r="G933">
            <v>371</v>
          </cell>
          <cell r="H933" t="str">
            <v>WA</v>
          </cell>
          <cell r="I933">
            <v>509552.01750000002</v>
          </cell>
        </row>
        <row r="934">
          <cell r="A934" t="str">
            <v>371WYP</v>
          </cell>
          <cell r="B934">
            <v>371</v>
          </cell>
          <cell r="C934" t="str">
            <v>WYP</v>
          </cell>
          <cell r="D934">
            <v>816418.14291666704</v>
          </cell>
          <cell r="F934" t="str">
            <v>371WYP</v>
          </cell>
          <cell r="G934">
            <v>371</v>
          </cell>
          <cell r="H934" t="str">
            <v>WYP</v>
          </cell>
          <cell r="I934">
            <v>816418.14291666704</v>
          </cell>
        </row>
        <row r="935">
          <cell r="A935" t="str">
            <v>371WYU</v>
          </cell>
          <cell r="B935">
            <v>371</v>
          </cell>
          <cell r="C935" t="str">
            <v>WYU</v>
          </cell>
          <cell r="D935">
            <v>155044.85999999999</v>
          </cell>
          <cell r="F935" t="str">
            <v>371WYU</v>
          </cell>
          <cell r="G935">
            <v>371</v>
          </cell>
          <cell r="H935" t="str">
            <v>WYU</v>
          </cell>
          <cell r="I935">
            <v>155044.85999999999</v>
          </cell>
        </row>
        <row r="936">
          <cell r="A936" t="str">
            <v>373CA</v>
          </cell>
          <cell r="B936">
            <v>373</v>
          </cell>
          <cell r="C936" t="str">
            <v>CA</v>
          </cell>
          <cell r="D936">
            <v>774456.83250000002</v>
          </cell>
          <cell r="F936" t="str">
            <v>373CA</v>
          </cell>
          <cell r="G936">
            <v>373</v>
          </cell>
          <cell r="H936" t="str">
            <v>CA</v>
          </cell>
          <cell r="I936">
            <v>774456.83250000002</v>
          </cell>
        </row>
        <row r="937">
          <cell r="A937" t="str">
            <v>373ID</v>
          </cell>
          <cell r="B937">
            <v>373</v>
          </cell>
          <cell r="C937" t="str">
            <v>ID</v>
          </cell>
          <cell r="D937">
            <v>740214.75958333304</v>
          </cell>
          <cell r="F937" t="str">
            <v>373ID</v>
          </cell>
          <cell r="G937">
            <v>373</v>
          </cell>
          <cell r="H937" t="str">
            <v>ID</v>
          </cell>
          <cell r="I937">
            <v>740214.75958333304</v>
          </cell>
        </row>
        <row r="938">
          <cell r="A938" t="str">
            <v>373OR</v>
          </cell>
          <cell r="B938">
            <v>373</v>
          </cell>
          <cell r="C938" t="str">
            <v>OR</v>
          </cell>
          <cell r="D938">
            <v>23972819.997499999</v>
          </cell>
          <cell r="F938" t="str">
            <v>373OR</v>
          </cell>
          <cell r="G938">
            <v>373</v>
          </cell>
          <cell r="H938" t="str">
            <v>OR</v>
          </cell>
          <cell r="I938">
            <v>23972819.997499999</v>
          </cell>
        </row>
        <row r="939">
          <cell r="A939" t="str">
            <v>373UT</v>
          </cell>
          <cell r="B939">
            <v>373</v>
          </cell>
          <cell r="C939" t="str">
            <v>UT</v>
          </cell>
          <cell r="D939">
            <v>21759024.415833302</v>
          </cell>
          <cell r="F939" t="str">
            <v>373UT</v>
          </cell>
          <cell r="G939">
            <v>373</v>
          </cell>
          <cell r="H939" t="str">
            <v>UT</v>
          </cell>
          <cell r="I939">
            <v>21759024.415833302</v>
          </cell>
        </row>
        <row r="940">
          <cell r="A940" t="str">
            <v>373WA</v>
          </cell>
          <cell r="B940">
            <v>373</v>
          </cell>
          <cell r="C940" t="str">
            <v>WA</v>
          </cell>
          <cell r="D940">
            <v>4752678.3379166704</v>
          </cell>
          <cell r="F940" t="str">
            <v>373WA</v>
          </cell>
          <cell r="G940">
            <v>373</v>
          </cell>
          <cell r="H940" t="str">
            <v>WA</v>
          </cell>
          <cell r="I940">
            <v>4752678.3379166704</v>
          </cell>
        </row>
        <row r="941">
          <cell r="A941" t="str">
            <v>373WYP</v>
          </cell>
          <cell r="B941">
            <v>373</v>
          </cell>
          <cell r="C941" t="str">
            <v>WYP</v>
          </cell>
          <cell r="D941">
            <v>8488602.5487500001</v>
          </cell>
          <cell r="F941" t="str">
            <v>373WYP</v>
          </cell>
          <cell r="G941">
            <v>373</v>
          </cell>
          <cell r="H941" t="str">
            <v>WYP</v>
          </cell>
          <cell r="I941">
            <v>8488602.5487500001</v>
          </cell>
        </row>
        <row r="942">
          <cell r="A942" t="str">
            <v>373WYU</v>
          </cell>
          <cell r="B942">
            <v>373</v>
          </cell>
          <cell r="C942" t="str">
            <v>WYU</v>
          </cell>
          <cell r="D942">
            <v>2267642.1425000001</v>
          </cell>
          <cell r="F942" t="str">
            <v>373WYU</v>
          </cell>
          <cell r="G942">
            <v>373</v>
          </cell>
          <cell r="H942" t="str">
            <v>WYU</v>
          </cell>
          <cell r="I942">
            <v>2267642.1425000001</v>
          </cell>
        </row>
        <row r="943">
          <cell r="A943" t="str">
            <v>389CA</v>
          </cell>
          <cell r="B943">
            <v>389</v>
          </cell>
          <cell r="C943" t="str">
            <v>CA</v>
          </cell>
          <cell r="D943">
            <v>710982.42458333296</v>
          </cell>
          <cell r="F943" t="str">
            <v>389CA</v>
          </cell>
          <cell r="G943">
            <v>389</v>
          </cell>
          <cell r="H943" t="str">
            <v>CA</v>
          </cell>
          <cell r="I943">
            <v>710982.42458333296</v>
          </cell>
        </row>
        <row r="944">
          <cell r="A944" t="str">
            <v>389CAGE</v>
          </cell>
          <cell r="B944">
            <v>389</v>
          </cell>
          <cell r="C944" t="str">
            <v>CAGE</v>
          </cell>
          <cell r="D944">
            <v>1559.87</v>
          </cell>
          <cell r="F944" t="str">
            <v>389CAGE</v>
          </cell>
          <cell r="G944">
            <v>389</v>
          </cell>
          <cell r="H944" t="str">
            <v>CAGE</v>
          </cell>
          <cell r="I944">
            <v>1559.87</v>
          </cell>
        </row>
        <row r="945">
          <cell r="A945" t="str">
            <v>389CN</v>
          </cell>
          <cell r="B945">
            <v>389</v>
          </cell>
          <cell r="C945" t="str">
            <v>CN</v>
          </cell>
          <cell r="D945">
            <v>1128505.79</v>
          </cell>
          <cell r="F945" t="str">
            <v>389CN</v>
          </cell>
          <cell r="G945">
            <v>389</v>
          </cell>
          <cell r="H945" t="str">
            <v>CN</v>
          </cell>
          <cell r="I945">
            <v>1128505.79</v>
          </cell>
        </row>
        <row r="946">
          <cell r="A946" t="str">
            <v>389ID</v>
          </cell>
          <cell r="B946">
            <v>389</v>
          </cell>
          <cell r="C946" t="str">
            <v>ID</v>
          </cell>
          <cell r="D946">
            <v>193900.58</v>
          </cell>
          <cell r="F946" t="str">
            <v>389ID</v>
          </cell>
          <cell r="G946">
            <v>389</v>
          </cell>
          <cell r="H946" t="str">
            <v>ID</v>
          </cell>
          <cell r="I946">
            <v>193900.58</v>
          </cell>
        </row>
        <row r="947">
          <cell r="A947" t="str">
            <v>389OR</v>
          </cell>
          <cell r="B947">
            <v>389</v>
          </cell>
          <cell r="C947" t="str">
            <v>OR</v>
          </cell>
          <cell r="D947">
            <v>4918904.3987499997</v>
          </cell>
          <cell r="F947" t="str">
            <v>389OR</v>
          </cell>
          <cell r="G947">
            <v>389</v>
          </cell>
          <cell r="H947" t="str">
            <v>OR</v>
          </cell>
          <cell r="I947">
            <v>4918904.3987499997</v>
          </cell>
        </row>
        <row r="948">
          <cell r="A948" t="str">
            <v>389SO</v>
          </cell>
          <cell r="B948">
            <v>389</v>
          </cell>
          <cell r="C948" t="str">
            <v>SO</v>
          </cell>
          <cell r="D948">
            <v>7516302.2000000002</v>
          </cell>
          <cell r="F948" t="str">
            <v>389SO</v>
          </cell>
          <cell r="G948">
            <v>389</v>
          </cell>
          <cell r="H948" t="str">
            <v>SO</v>
          </cell>
          <cell r="I948">
            <v>7516302.2000000002</v>
          </cell>
        </row>
        <row r="949">
          <cell r="A949" t="str">
            <v>389UT</v>
          </cell>
          <cell r="B949">
            <v>389</v>
          </cell>
          <cell r="C949" t="str">
            <v>UT</v>
          </cell>
          <cell r="D949">
            <v>4149487.88625</v>
          </cell>
          <cell r="F949" t="str">
            <v>389UT</v>
          </cell>
          <cell r="G949">
            <v>389</v>
          </cell>
          <cell r="H949" t="str">
            <v>UT</v>
          </cell>
          <cell r="I949">
            <v>4149487.88625</v>
          </cell>
        </row>
        <row r="950">
          <cell r="A950" t="str">
            <v>389WA</v>
          </cell>
          <cell r="B950">
            <v>389</v>
          </cell>
          <cell r="C950" t="str">
            <v>WA</v>
          </cell>
          <cell r="D950">
            <v>1098826.3500000001</v>
          </cell>
          <cell r="F950" t="str">
            <v>389WA</v>
          </cell>
          <cell r="G950">
            <v>389</v>
          </cell>
          <cell r="H950" t="str">
            <v>WA</v>
          </cell>
          <cell r="I950">
            <v>1098826.3500000001</v>
          </cell>
        </row>
        <row r="951">
          <cell r="A951" t="str">
            <v>389WYP</v>
          </cell>
          <cell r="B951">
            <v>389</v>
          </cell>
          <cell r="C951" t="str">
            <v>WYP</v>
          </cell>
          <cell r="D951">
            <v>1646141.3149999999</v>
          </cell>
          <cell r="F951" t="str">
            <v>389WYP</v>
          </cell>
          <cell r="G951">
            <v>389</v>
          </cell>
          <cell r="H951" t="str">
            <v>WYP</v>
          </cell>
          <cell r="I951">
            <v>1646141.3149999999</v>
          </cell>
        </row>
        <row r="952">
          <cell r="A952" t="str">
            <v>389WYU</v>
          </cell>
          <cell r="B952">
            <v>389</v>
          </cell>
          <cell r="C952" t="str">
            <v>WYU</v>
          </cell>
          <cell r="D952">
            <v>677197.61</v>
          </cell>
          <cell r="F952" t="str">
            <v>389WYU</v>
          </cell>
          <cell r="G952">
            <v>389</v>
          </cell>
          <cell r="H952" t="str">
            <v>WYU</v>
          </cell>
          <cell r="I952">
            <v>677197.61</v>
          </cell>
        </row>
        <row r="953">
          <cell r="A953" t="str">
            <v>390CA</v>
          </cell>
          <cell r="B953">
            <v>390</v>
          </cell>
          <cell r="C953" t="str">
            <v>CA</v>
          </cell>
          <cell r="D953">
            <v>4028985.6037499998</v>
          </cell>
          <cell r="F953" t="str">
            <v>390CA</v>
          </cell>
          <cell r="G953">
            <v>390</v>
          </cell>
          <cell r="H953" t="str">
            <v>CA</v>
          </cell>
          <cell r="I953">
            <v>4028985.6037499998</v>
          </cell>
        </row>
        <row r="954">
          <cell r="A954" t="str">
            <v>390CAEE</v>
          </cell>
          <cell r="B954">
            <v>390</v>
          </cell>
          <cell r="C954" t="str">
            <v>CAEE</v>
          </cell>
          <cell r="D954">
            <v>1163226.5258333299</v>
          </cell>
          <cell r="F954" t="str">
            <v>390CAEE</v>
          </cell>
          <cell r="G954">
            <v>390</v>
          </cell>
          <cell r="H954" t="str">
            <v>CAEE</v>
          </cell>
          <cell r="I954">
            <v>1163226.5258333299</v>
          </cell>
        </row>
        <row r="955">
          <cell r="A955" t="str">
            <v>390CAGE</v>
          </cell>
          <cell r="B955">
            <v>390</v>
          </cell>
          <cell r="C955" t="str">
            <v>CAGE</v>
          </cell>
          <cell r="D955">
            <v>4256262.9400000004</v>
          </cell>
          <cell r="F955" t="str">
            <v>390CAGE</v>
          </cell>
          <cell r="G955">
            <v>390</v>
          </cell>
          <cell r="H955" t="str">
            <v>CAGE</v>
          </cell>
          <cell r="I955">
            <v>4256262.9400000004</v>
          </cell>
        </row>
        <row r="956">
          <cell r="A956" t="str">
            <v>390CAGW</v>
          </cell>
          <cell r="B956">
            <v>390</v>
          </cell>
          <cell r="C956" t="str">
            <v>CAGW</v>
          </cell>
          <cell r="D956">
            <v>3330663.2833333299</v>
          </cell>
          <cell r="F956" t="str">
            <v>390CAGW</v>
          </cell>
          <cell r="G956">
            <v>390</v>
          </cell>
          <cell r="H956" t="str">
            <v>CAGW</v>
          </cell>
          <cell r="I956">
            <v>3330663.2833333299</v>
          </cell>
        </row>
        <row r="957">
          <cell r="A957" t="str">
            <v>390CN</v>
          </cell>
          <cell r="B957">
            <v>390</v>
          </cell>
          <cell r="C957" t="str">
            <v>CN</v>
          </cell>
          <cell r="D957">
            <v>8183670.0012499997</v>
          </cell>
          <cell r="F957" t="str">
            <v>390CN</v>
          </cell>
          <cell r="G957">
            <v>390</v>
          </cell>
          <cell r="H957" t="str">
            <v>CN</v>
          </cell>
          <cell r="I957">
            <v>8183670.0012499997</v>
          </cell>
        </row>
        <row r="958">
          <cell r="A958" t="str">
            <v>390ID</v>
          </cell>
          <cell r="B958">
            <v>390</v>
          </cell>
          <cell r="C958" t="str">
            <v>ID</v>
          </cell>
          <cell r="D958">
            <v>11539926.2345833</v>
          </cell>
          <cell r="F958" t="str">
            <v>390ID</v>
          </cell>
          <cell r="G958">
            <v>390</v>
          </cell>
          <cell r="H958" t="str">
            <v>ID</v>
          </cell>
          <cell r="I958">
            <v>11539926.2345833</v>
          </cell>
        </row>
        <row r="959">
          <cell r="A959" t="str">
            <v>390JBG</v>
          </cell>
          <cell r="B959">
            <v>390</v>
          </cell>
          <cell r="C959" t="str">
            <v>JBG</v>
          </cell>
          <cell r="D959">
            <v>22429.3</v>
          </cell>
          <cell r="F959" t="str">
            <v>390JBG</v>
          </cell>
          <cell r="G959">
            <v>390</v>
          </cell>
          <cell r="H959" t="str">
            <v>JBG</v>
          </cell>
          <cell r="I959">
            <v>22429.3</v>
          </cell>
        </row>
        <row r="960">
          <cell r="A960" t="str">
            <v>390OR</v>
          </cell>
          <cell r="B960">
            <v>390</v>
          </cell>
          <cell r="C960" t="str">
            <v>OR</v>
          </cell>
          <cell r="D960">
            <v>40137596.750416704</v>
          </cell>
          <cell r="F960" t="str">
            <v>390OR</v>
          </cell>
          <cell r="G960">
            <v>390</v>
          </cell>
          <cell r="H960" t="str">
            <v>OR</v>
          </cell>
          <cell r="I960">
            <v>40137596.750416704</v>
          </cell>
        </row>
        <row r="961">
          <cell r="A961" t="str">
            <v>390SO</v>
          </cell>
          <cell r="B961">
            <v>390</v>
          </cell>
          <cell r="C961" t="str">
            <v>SO</v>
          </cell>
          <cell r="D961">
            <v>96607418.291250005</v>
          </cell>
          <cell r="F961" t="str">
            <v>390SO</v>
          </cell>
          <cell r="G961">
            <v>390</v>
          </cell>
          <cell r="H961" t="str">
            <v>SO</v>
          </cell>
          <cell r="I961">
            <v>96607418.291250005</v>
          </cell>
        </row>
        <row r="962">
          <cell r="A962" t="str">
            <v>390UT</v>
          </cell>
          <cell r="B962">
            <v>390</v>
          </cell>
          <cell r="C962" t="str">
            <v>UT</v>
          </cell>
          <cell r="D962">
            <v>44205179.780833296</v>
          </cell>
          <cell r="F962" t="str">
            <v>390UT</v>
          </cell>
          <cell r="G962">
            <v>390</v>
          </cell>
          <cell r="H962" t="str">
            <v>UT</v>
          </cell>
          <cell r="I962">
            <v>44205179.780833296</v>
          </cell>
        </row>
        <row r="963">
          <cell r="A963" t="str">
            <v>390WA</v>
          </cell>
          <cell r="B963">
            <v>390</v>
          </cell>
          <cell r="C963" t="str">
            <v>WA</v>
          </cell>
          <cell r="D963">
            <v>13904893.5641667</v>
          </cell>
          <cell r="F963" t="str">
            <v>390WA</v>
          </cell>
          <cell r="G963">
            <v>390</v>
          </cell>
          <cell r="H963" t="str">
            <v>WA</v>
          </cell>
          <cell r="I963">
            <v>13904893.5641667</v>
          </cell>
        </row>
        <row r="964">
          <cell r="A964" t="str">
            <v>390WYP</v>
          </cell>
          <cell r="B964">
            <v>390</v>
          </cell>
          <cell r="C964" t="str">
            <v>WYP</v>
          </cell>
          <cell r="D964">
            <v>14685172.981249999</v>
          </cell>
          <cell r="F964" t="str">
            <v>390WYP</v>
          </cell>
          <cell r="G964">
            <v>390</v>
          </cell>
          <cell r="H964" t="str">
            <v>WYP</v>
          </cell>
          <cell r="I964">
            <v>14685172.981249999</v>
          </cell>
        </row>
        <row r="965">
          <cell r="A965" t="str">
            <v>390WYU</v>
          </cell>
          <cell r="B965">
            <v>390</v>
          </cell>
          <cell r="C965" t="str">
            <v>WYU</v>
          </cell>
          <cell r="D965">
            <v>3847027.3779166699</v>
          </cell>
          <cell r="F965" t="str">
            <v>390WYU</v>
          </cell>
          <cell r="G965">
            <v>390</v>
          </cell>
          <cell r="H965" t="str">
            <v>WYU</v>
          </cell>
          <cell r="I965">
            <v>3847027.3779166699</v>
          </cell>
        </row>
        <row r="966">
          <cell r="A966" t="str">
            <v>391CA</v>
          </cell>
          <cell r="B966">
            <v>391</v>
          </cell>
          <cell r="C966" t="str">
            <v>CA</v>
          </cell>
          <cell r="D966">
            <v>169589.900833333</v>
          </cell>
          <cell r="F966" t="str">
            <v>391CA</v>
          </cell>
          <cell r="G966">
            <v>391</v>
          </cell>
          <cell r="H966" t="str">
            <v>CA</v>
          </cell>
          <cell r="I966">
            <v>169589.900833333</v>
          </cell>
        </row>
        <row r="967">
          <cell r="A967" t="str">
            <v>391CAEE</v>
          </cell>
          <cell r="B967">
            <v>391</v>
          </cell>
          <cell r="C967" t="str">
            <v>CAEE</v>
          </cell>
          <cell r="D967">
            <v>16822.297916666699</v>
          </cell>
          <cell r="F967" t="str">
            <v>391CAEE</v>
          </cell>
          <cell r="G967">
            <v>391</v>
          </cell>
          <cell r="H967" t="str">
            <v>CAEE</v>
          </cell>
          <cell r="I967">
            <v>16822.297916666699</v>
          </cell>
        </row>
        <row r="968">
          <cell r="A968" t="str">
            <v>391CAGE</v>
          </cell>
          <cell r="B968">
            <v>391</v>
          </cell>
          <cell r="C968" t="str">
            <v>CAGE</v>
          </cell>
          <cell r="D968">
            <v>2247032.6237499998</v>
          </cell>
          <cell r="F968" t="str">
            <v>391CAGE</v>
          </cell>
          <cell r="G968">
            <v>391</v>
          </cell>
          <cell r="H968" t="str">
            <v>CAGE</v>
          </cell>
          <cell r="I968">
            <v>2247032.6237499998</v>
          </cell>
        </row>
        <row r="969">
          <cell r="A969" t="str">
            <v>391CAGW</v>
          </cell>
          <cell r="B969">
            <v>391</v>
          </cell>
          <cell r="C969" t="str">
            <v>CAGW</v>
          </cell>
          <cell r="D969">
            <v>567402.01083333301</v>
          </cell>
          <cell r="F969" t="str">
            <v>391CAGW</v>
          </cell>
          <cell r="G969">
            <v>391</v>
          </cell>
          <cell r="H969" t="str">
            <v>CAGW</v>
          </cell>
          <cell r="I969">
            <v>567402.01083333301</v>
          </cell>
        </row>
        <row r="970">
          <cell r="A970" t="str">
            <v>391CN</v>
          </cell>
          <cell r="B970">
            <v>391</v>
          </cell>
          <cell r="C970" t="str">
            <v>CN</v>
          </cell>
          <cell r="D970">
            <v>4590639.5012499997</v>
          </cell>
          <cell r="F970" t="str">
            <v>391CN</v>
          </cell>
          <cell r="G970">
            <v>391</v>
          </cell>
          <cell r="H970" t="str">
            <v>CN</v>
          </cell>
          <cell r="I970">
            <v>4590639.5012499997</v>
          </cell>
        </row>
        <row r="971">
          <cell r="A971" t="str">
            <v>391ID</v>
          </cell>
          <cell r="B971">
            <v>391</v>
          </cell>
          <cell r="C971" t="str">
            <v>ID</v>
          </cell>
          <cell r="D971">
            <v>383154.48499999999</v>
          </cell>
          <cell r="F971" t="str">
            <v>391ID</v>
          </cell>
          <cell r="G971">
            <v>391</v>
          </cell>
          <cell r="H971" t="str">
            <v>ID</v>
          </cell>
          <cell r="I971">
            <v>383154.48499999999</v>
          </cell>
        </row>
        <row r="972">
          <cell r="A972" t="str">
            <v>391JBG</v>
          </cell>
          <cell r="B972">
            <v>391</v>
          </cell>
          <cell r="C972" t="str">
            <v>JBG</v>
          </cell>
          <cell r="D972">
            <v>214201.12375</v>
          </cell>
          <cell r="F972" t="str">
            <v>391JBG</v>
          </cell>
          <cell r="G972">
            <v>391</v>
          </cell>
          <cell r="H972" t="str">
            <v>JBG</v>
          </cell>
          <cell r="I972">
            <v>214201.12375</v>
          </cell>
        </row>
        <row r="973">
          <cell r="A973" t="str">
            <v>391OR</v>
          </cell>
          <cell r="B973">
            <v>391</v>
          </cell>
          <cell r="C973" t="str">
            <v>OR</v>
          </cell>
          <cell r="D973">
            <v>2323740.1120833298</v>
          </cell>
          <cell r="F973" t="str">
            <v>391OR</v>
          </cell>
          <cell r="G973">
            <v>391</v>
          </cell>
          <cell r="H973" t="str">
            <v>OR</v>
          </cell>
          <cell r="I973">
            <v>2323740.1120833298</v>
          </cell>
        </row>
        <row r="974">
          <cell r="A974" t="str">
            <v>391SO</v>
          </cell>
          <cell r="B974">
            <v>391</v>
          </cell>
          <cell r="C974" t="str">
            <v>SO</v>
          </cell>
          <cell r="D974">
            <v>62323442.5279167</v>
          </cell>
          <cell r="F974" t="str">
            <v>391SO</v>
          </cell>
          <cell r="G974">
            <v>391</v>
          </cell>
          <cell r="H974" t="str">
            <v>SO</v>
          </cell>
          <cell r="I974">
            <v>62323442.5279167</v>
          </cell>
        </row>
        <row r="975">
          <cell r="A975" t="str">
            <v>391UT</v>
          </cell>
          <cell r="B975">
            <v>391</v>
          </cell>
          <cell r="C975" t="str">
            <v>UT</v>
          </cell>
          <cell r="D975">
            <v>1257926.9737499999</v>
          </cell>
          <cell r="F975" t="str">
            <v>391UT</v>
          </cell>
          <cell r="G975">
            <v>391</v>
          </cell>
          <cell r="H975" t="str">
            <v>UT</v>
          </cell>
          <cell r="I975">
            <v>1257926.9737499999</v>
          </cell>
        </row>
        <row r="976">
          <cell r="A976" t="str">
            <v>391WA</v>
          </cell>
          <cell r="B976">
            <v>391</v>
          </cell>
          <cell r="C976" t="str">
            <v>WA</v>
          </cell>
          <cell r="D976">
            <v>320839.11375000002</v>
          </cell>
          <cell r="F976" t="str">
            <v>391WA</v>
          </cell>
          <cell r="G976">
            <v>391</v>
          </cell>
          <cell r="H976" t="str">
            <v>WA</v>
          </cell>
          <cell r="I976">
            <v>320839.11375000002</v>
          </cell>
        </row>
        <row r="977">
          <cell r="A977" t="str">
            <v>391WYP</v>
          </cell>
          <cell r="B977">
            <v>391</v>
          </cell>
          <cell r="C977" t="str">
            <v>WYP</v>
          </cell>
          <cell r="D977">
            <v>2275166.6933333301</v>
          </cell>
          <cell r="F977" t="str">
            <v>391WYP</v>
          </cell>
          <cell r="G977">
            <v>391</v>
          </cell>
          <cell r="H977" t="str">
            <v>WYP</v>
          </cell>
          <cell r="I977">
            <v>2275166.6933333301</v>
          </cell>
        </row>
        <row r="978">
          <cell r="A978" t="str">
            <v>391WYU</v>
          </cell>
          <cell r="B978">
            <v>391</v>
          </cell>
          <cell r="C978" t="str">
            <v>WYU</v>
          </cell>
          <cell r="D978">
            <v>70569.979583333305</v>
          </cell>
          <cell r="F978" t="str">
            <v>391WYU</v>
          </cell>
          <cell r="G978">
            <v>391</v>
          </cell>
          <cell r="H978" t="str">
            <v>WYU</v>
          </cell>
          <cell r="I978">
            <v>70569.979583333305</v>
          </cell>
        </row>
        <row r="979">
          <cell r="A979" t="str">
            <v>392CA</v>
          </cell>
          <cell r="B979">
            <v>392</v>
          </cell>
          <cell r="C979" t="str">
            <v>CA</v>
          </cell>
          <cell r="D979">
            <v>2151644.4187500002</v>
          </cell>
          <cell r="F979" t="str">
            <v>392CA</v>
          </cell>
          <cell r="G979">
            <v>392</v>
          </cell>
          <cell r="H979" t="str">
            <v>CA</v>
          </cell>
          <cell r="I979">
            <v>2151644.4187500002</v>
          </cell>
        </row>
        <row r="980">
          <cell r="A980" t="str">
            <v>392CAEE</v>
          </cell>
          <cell r="B980">
            <v>392</v>
          </cell>
          <cell r="C980" t="str">
            <v>CAEE</v>
          </cell>
          <cell r="D980">
            <v>515447.19124999997</v>
          </cell>
          <cell r="F980" t="str">
            <v>392CAEE</v>
          </cell>
          <cell r="G980">
            <v>392</v>
          </cell>
          <cell r="H980" t="str">
            <v>CAEE</v>
          </cell>
          <cell r="I980">
            <v>515447.19124999997</v>
          </cell>
        </row>
        <row r="981">
          <cell r="A981" t="str">
            <v>392CAGE</v>
          </cell>
          <cell r="B981">
            <v>392</v>
          </cell>
          <cell r="C981" t="str">
            <v>CAGE</v>
          </cell>
          <cell r="D981">
            <v>13456434.4079167</v>
          </cell>
          <cell r="F981" t="str">
            <v>392CAGE</v>
          </cell>
          <cell r="G981">
            <v>392</v>
          </cell>
          <cell r="H981" t="str">
            <v>CAGE</v>
          </cell>
          <cell r="I981">
            <v>13456434.4079167</v>
          </cell>
        </row>
        <row r="982">
          <cell r="A982" t="str">
            <v>392CAGW</v>
          </cell>
          <cell r="B982">
            <v>392</v>
          </cell>
          <cell r="C982" t="str">
            <v>CAGW</v>
          </cell>
          <cell r="D982">
            <v>5730349.0291666696</v>
          </cell>
          <cell r="F982" t="str">
            <v>392CAGW</v>
          </cell>
          <cell r="G982">
            <v>392</v>
          </cell>
          <cell r="H982" t="str">
            <v>CAGW</v>
          </cell>
          <cell r="I982">
            <v>5730349.0291666696</v>
          </cell>
        </row>
        <row r="983">
          <cell r="A983" t="str">
            <v>392ID</v>
          </cell>
          <cell r="B983">
            <v>392</v>
          </cell>
          <cell r="C983" t="str">
            <v>ID</v>
          </cell>
          <cell r="D983">
            <v>6651879.11583333</v>
          </cell>
          <cell r="F983" t="str">
            <v>392ID</v>
          </cell>
          <cell r="G983">
            <v>392</v>
          </cell>
          <cell r="H983" t="str">
            <v>ID</v>
          </cell>
          <cell r="I983">
            <v>6651879.11583333</v>
          </cell>
        </row>
        <row r="984">
          <cell r="A984" t="str">
            <v>392JBG</v>
          </cell>
          <cell r="B984">
            <v>392</v>
          </cell>
          <cell r="C984" t="str">
            <v>JBG</v>
          </cell>
          <cell r="D984">
            <v>2516531.5825</v>
          </cell>
          <cell r="F984" t="str">
            <v>392JBG</v>
          </cell>
          <cell r="G984">
            <v>392</v>
          </cell>
          <cell r="H984" t="str">
            <v>JBG</v>
          </cell>
          <cell r="I984">
            <v>2516531.5825</v>
          </cell>
        </row>
        <row r="985">
          <cell r="A985" t="str">
            <v>392OR</v>
          </cell>
          <cell r="B985">
            <v>392</v>
          </cell>
          <cell r="C985" t="str">
            <v>OR</v>
          </cell>
          <cell r="D985">
            <v>25470642.14875</v>
          </cell>
          <cell r="F985" t="str">
            <v>392OR</v>
          </cell>
          <cell r="G985">
            <v>392</v>
          </cell>
          <cell r="H985" t="str">
            <v>OR</v>
          </cell>
          <cell r="I985">
            <v>25470642.14875</v>
          </cell>
        </row>
        <row r="986">
          <cell r="A986" t="str">
            <v>392SO</v>
          </cell>
          <cell r="B986">
            <v>392</v>
          </cell>
          <cell r="C986" t="str">
            <v>SO</v>
          </cell>
          <cell r="D986">
            <v>7441968.3879166702</v>
          </cell>
          <cell r="F986" t="str">
            <v>392SO</v>
          </cell>
          <cell r="G986">
            <v>392</v>
          </cell>
          <cell r="H986" t="str">
            <v>SO</v>
          </cell>
          <cell r="I986">
            <v>7441968.3879166702</v>
          </cell>
        </row>
        <row r="987">
          <cell r="A987" t="str">
            <v>392UT</v>
          </cell>
          <cell r="B987">
            <v>392</v>
          </cell>
          <cell r="C987" t="str">
            <v>UT</v>
          </cell>
          <cell r="D987">
            <v>36132185.459583297</v>
          </cell>
          <cell r="F987" t="str">
            <v>392UT</v>
          </cell>
          <cell r="G987">
            <v>392</v>
          </cell>
          <cell r="H987" t="str">
            <v>UT</v>
          </cell>
          <cell r="I987">
            <v>36132185.459583297</v>
          </cell>
        </row>
        <row r="988">
          <cell r="A988" t="str">
            <v>392WA</v>
          </cell>
          <cell r="B988">
            <v>392</v>
          </cell>
          <cell r="C988" t="str">
            <v>WA</v>
          </cell>
          <cell r="D988">
            <v>5344910.09</v>
          </cell>
          <cell r="F988" t="str">
            <v>392WA</v>
          </cell>
          <cell r="G988">
            <v>392</v>
          </cell>
          <cell r="H988" t="str">
            <v>WA</v>
          </cell>
          <cell r="I988">
            <v>5344910.09</v>
          </cell>
        </row>
        <row r="989">
          <cell r="A989" t="str">
            <v>392WYP</v>
          </cell>
          <cell r="B989">
            <v>392</v>
          </cell>
          <cell r="C989" t="str">
            <v>WYP</v>
          </cell>
          <cell r="D989">
            <v>9507802.1545833293</v>
          </cell>
          <cell r="F989" t="str">
            <v>392WYP</v>
          </cell>
          <cell r="G989">
            <v>392</v>
          </cell>
          <cell r="H989" t="str">
            <v>WYP</v>
          </cell>
          <cell r="I989">
            <v>9507802.1545833293</v>
          </cell>
        </row>
        <row r="990">
          <cell r="A990" t="str">
            <v>392WYU</v>
          </cell>
          <cell r="B990">
            <v>392</v>
          </cell>
          <cell r="C990" t="str">
            <v>WYU</v>
          </cell>
          <cell r="D990">
            <v>1947132.22958333</v>
          </cell>
          <cell r="F990" t="str">
            <v>392WYU</v>
          </cell>
          <cell r="G990">
            <v>392</v>
          </cell>
          <cell r="H990" t="str">
            <v>WYU</v>
          </cell>
          <cell r="I990">
            <v>1947132.22958333</v>
          </cell>
        </row>
        <row r="991">
          <cell r="A991" t="str">
            <v>393CA</v>
          </cell>
          <cell r="B991">
            <v>393</v>
          </cell>
          <cell r="C991" t="str">
            <v>CA</v>
          </cell>
          <cell r="D991">
            <v>195267.38333333301</v>
          </cell>
          <cell r="F991" t="str">
            <v>393CA</v>
          </cell>
          <cell r="G991">
            <v>393</v>
          </cell>
          <cell r="H991" t="str">
            <v>CA</v>
          </cell>
          <cell r="I991">
            <v>195267.38333333301</v>
          </cell>
        </row>
        <row r="992">
          <cell r="A992" t="str">
            <v>393CAGE</v>
          </cell>
          <cell r="B992">
            <v>393</v>
          </cell>
          <cell r="C992" t="str">
            <v>CAGE</v>
          </cell>
          <cell r="D992">
            <v>4279935.5583333299</v>
          </cell>
          <cell r="F992" t="str">
            <v>393CAGE</v>
          </cell>
          <cell r="G992">
            <v>393</v>
          </cell>
          <cell r="H992" t="str">
            <v>CAGE</v>
          </cell>
          <cell r="I992">
            <v>4279935.5583333299</v>
          </cell>
        </row>
        <row r="993">
          <cell r="A993" t="str">
            <v>393CAGW</v>
          </cell>
          <cell r="B993">
            <v>393</v>
          </cell>
          <cell r="C993" t="str">
            <v>CAGW</v>
          </cell>
          <cell r="D993">
            <v>759222.18416666705</v>
          </cell>
          <cell r="F993" t="str">
            <v>393CAGW</v>
          </cell>
          <cell r="G993">
            <v>393</v>
          </cell>
          <cell r="H993" t="str">
            <v>CAGW</v>
          </cell>
          <cell r="I993">
            <v>759222.18416666705</v>
          </cell>
        </row>
        <row r="994">
          <cell r="A994" t="str">
            <v>393ID</v>
          </cell>
          <cell r="B994">
            <v>393</v>
          </cell>
          <cell r="C994" t="str">
            <v>ID</v>
          </cell>
          <cell r="D994">
            <v>494983.36</v>
          </cell>
          <cell r="F994" t="str">
            <v>393ID</v>
          </cell>
          <cell r="G994">
            <v>393</v>
          </cell>
          <cell r="H994" t="str">
            <v>ID</v>
          </cell>
          <cell r="I994">
            <v>494983.36</v>
          </cell>
        </row>
        <row r="995">
          <cell r="A995" t="str">
            <v>393JBG</v>
          </cell>
          <cell r="B995">
            <v>393</v>
          </cell>
          <cell r="C995" t="str">
            <v>JBG</v>
          </cell>
          <cell r="D995">
            <v>807954.27791666705</v>
          </cell>
          <cell r="F995" t="str">
            <v>393JBG</v>
          </cell>
          <cell r="G995">
            <v>393</v>
          </cell>
          <cell r="H995" t="str">
            <v>JBG</v>
          </cell>
          <cell r="I995">
            <v>807954.27791666705</v>
          </cell>
        </row>
        <row r="996">
          <cell r="A996" t="str">
            <v>393OR</v>
          </cell>
          <cell r="B996">
            <v>393</v>
          </cell>
          <cell r="C996" t="str">
            <v>OR</v>
          </cell>
          <cell r="D996">
            <v>2767091.6845833301</v>
          </cell>
          <cell r="F996" t="str">
            <v>393OR</v>
          </cell>
          <cell r="G996">
            <v>393</v>
          </cell>
          <cell r="H996" t="str">
            <v>OR</v>
          </cell>
          <cell r="I996">
            <v>2767091.6845833301</v>
          </cell>
        </row>
        <row r="997">
          <cell r="A997" t="str">
            <v>393SO</v>
          </cell>
          <cell r="B997">
            <v>393</v>
          </cell>
          <cell r="C997" t="str">
            <v>SO</v>
          </cell>
          <cell r="D997">
            <v>255084.57</v>
          </cell>
          <cell r="F997" t="str">
            <v>393SO</v>
          </cell>
          <cell r="G997">
            <v>393</v>
          </cell>
          <cell r="H997" t="str">
            <v>SO</v>
          </cell>
          <cell r="I997">
            <v>255084.57</v>
          </cell>
        </row>
        <row r="998">
          <cell r="A998" t="str">
            <v>393UT</v>
          </cell>
          <cell r="B998">
            <v>393</v>
          </cell>
          <cell r="C998" t="str">
            <v>UT</v>
          </cell>
          <cell r="D998">
            <v>3223241.1491666702</v>
          </cell>
          <cell r="F998" t="str">
            <v>393UT</v>
          </cell>
          <cell r="G998">
            <v>393</v>
          </cell>
          <cell r="H998" t="str">
            <v>UT</v>
          </cell>
          <cell r="I998">
            <v>3223241.1491666702</v>
          </cell>
        </row>
        <row r="999">
          <cell r="A999" t="str">
            <v>393WA</v>
          </cell>
          <cell r="B999">
            <v>393</v>
          </cell>
          <cell r="C999" t="str">
            <v>WA</v>
          </cell>
          <cell r="D999">
            <v>717967.05541666702</v>
          </cell>
          <cell r="F999" t="str">
            <v>393WA</v>
          </cell>
          <cell r="G999">
            <v>393</v>
          </cell>
          <cell r="H999" t="str">
            <v>WA</v>
          </cell>
          <cell r="I999">
            <v>717967.05541666702</v>
          </cell>
        </row>
        <row r="1000">
          <cell r="A1000" t="str">
            <v>393WYP</v>
          </cell>
          <cell r="B1000">
            <v>393</v>
          </cell>
          <cell r="C1000" t="str">
            <v>WYP</v>
          </cell>
          <cell r="D1000">
            <v>1095194.87458333</v>
          </cell>
          <cell r="F1000" t="str">
            <v>393WYP</v>
          </cell>
          <cell r="G1000">
            <v>393</v>
          </cell>
          <cell r="H1000" t="str">
            <v>WYP</v>
          </cell>
          <cell r="I1000">
            <v>1095194.87458333</v>
          </cell>
        </row>
        <row r="1001">
          <cell r="A1001" t="str">
            <v>393WYU</v>
          </cell>
          <cell r="B1001">
            <v>393</v>
          </cell>
          <cell r="C1001" t="str">
            <v>WYU</v>
          </cell>
          <cell r="D1001">
            <v>11346.1075</v>
          </cell>
          <cell r="F1001" t="str">
            <v>393WYU</v>
          </cell>
          <cell r="G1001">
            <v>393</v>
          </cell>
          <cell r="H1001" t="str">
            <v>WYU</v>
          </cell>
          <cell r="I1001">
            <v>11346.1075</v>
          </cell>
        </row>
        <row r="1002">
          <cell r="A1002" t="str">
            <v>394CA</v>
          </cell>
          <cell r="B1002">
            <v>394</v>
          </cell>
          <cell r="C1002" t="str">
            <v>CA</v>
          </cell>
          <cell r="D1002">
            <v>752903.56041666702</v>
          </cell>
          <cell r="F1002" t="str">
            <v>394CA</v>
          </cell>
          <cell r="G1002">
            <v>394</v>
          </cell>
          <cell r="H1002" t="str">
            <v>CA</v>
          </cell>
          <cell r="I1002">
            <v>752903.56041666702</v>
          </cell>
        </row>
        <row r="1003">
          <cell r="A1003" t="str">
            <v>394CAEE</v>
          </cell>
          <cell r="B1003">
            <v>394</v>
          </cell>
          <cell r="C1003" t="str">
            <v>CAEE</v>
          </cell>
          <cell r="D1003">
            <v>109044.38</v>
          </cell>
          <cell r="F1003" t="str">
            <v>394CAEE</v>
          </cell>
          <cell r="G1003">
            <v>394</v>
          </cell>
          <cell r="H1003" t="str">
            <v>CAEE</v>
          </cell>
          <cell r="I1003">
            <v>109044.38</v>
          </cell>
        </row>
        <row r="1004">
          <cell r="A1004" t="str">
            <v>394CAGE</v>
          </cell>
          <cell r="B1004">
            <v>394</v>
          </cell>
          <cell r="C1004" t="str">
            <v>CAGE</v>
          </cell>
          <cell r="D1004">
            <v>18499240.289999999</v>
          </cell>
          <cell r="F1004" t="str">
            <v>394CAGE</v>
          </cell>
          <cell r="G1004">
            <v>394</v>
          </cell>
          <cell r="H1004" t="str">
            <v>CAGE</v>
          </cell>
          <cell r="I1004">
            <v>18499240.289999999</v>
          </cell>
        </row>
        <row r="1005">
          <cell r="A1005" t="str">
            <v>394CAGW</v>
          </cell>
          <cell r="B1005">
            <v>394</v>
          </cell>
          <cell r="C1005" t="str">
            <v>CAGW</v>
          </cell>
          <cell r="D1005">
            <v>2741538.8537499998</v>
          </cell>
          <cell r="F1005" t="str">
            <v>394CAGW</v>
          </cell>
          <cell r="G1005">
            <v>394</v>
          </cell>
          <cell r="H1005" t="str">
            <v>CAGW</v>
          </cell>
          <cell r="I1005">
            <v>2741538.8537499998</v>
          </cell>
        </row>
        <row r="1006">
          <cell r="A1006" t="str">
            <v>394ID</v>
          </cell>
          <cell r="B1006">
            <v>394</v>
          </cell>
          <cell r="C1006" t="str">
            <v>ID</v>
          </cell>
          <cell r="D1006">
            <v>2061639.2641666699</v>
          </cell>
          <cell r="F1006" t="str">
            <v>394ID</v>
          </cell>
          <cell r="G1006">
            <v>394</v>
          </cell>
          <cell r="H1006" t="str">
            <v>ID</v>
          </cell>
          <cell r="I1006">
            <v>2061639.2641666699</v>
          </cell>
        </row>
        <row r="1007">
          <cell r="A1007" t="str">
            <v>394JBG</v>
          </cell>
          <cell r="B1007">
            <v>394</v>
          </cell>
          <cell r="C1007" t="str">
            <v>JBG</v>
          </cell>
          <cell r="D1007">
            <v>3021149.3875000002</v>
          </cell>
          <cell r="F1007" t="str">
            <v>394JBG</v>
          </cell>
          <cell r="G1007">
            <v>394</v>
          </cell>
          <cell r="H1007" t="str">
            <v>JBG</v>
          </cell>
          <cell r="I1007">
            <v>3021149.3875000002</v>
          </cell>
        </row>
        <row r="1008">
          <cell r="A1008" t="str">
            <v>394OR</v>
          </cell>
          <cell r="B1008">
            <v>394</v>
          </cell>
          <cell r="C1008" t="str">
            <v>OR</v>
          </cell>
          <cell r="D1008">
            <v>10512742.6383333</v>
          </cell>
          <cell r="F1008" t="str">
            <v>394OR</v>
          </cell>
          <cell r="G1008">
            <v>394</v>
          </cell>
          <cell r="H1008" t="str">
            <v>OR</v>
          </cell>
          <cell r="I1008">
            <v>10512742.6383333</v>
          </cell>
        </row>
        <row r="1009">
          <cell r="A1009" t="str">
            <v>394SO</v>
          </cell>
          <cell r="B1009">
            <v>394</v>
          </cell>
          <cell r="C1009" t="str">
            <v>SO</v>
          </cell>
          <cell r="D1009">
            <v>2596429.9500000002</v>
          </cell>
          <cell r="F1009" t="str">
            <v>394SO</v>
          </cell>
          <cell r="G1009">
            <v>394</v>
          </cell>
          <cell r="H1009" t="str">
            <v>SO</v>
          </cell>
          <cell r="I1009">
            <v>2596429.9500000002</v>
          </cell>
        </row>
        <row r="1010">
          <cell r="A1010" t="str">
            <v>394UT</v>
          </cell>
          <cell r="B1010">
            <v>394</v>
          </cell>
          <cell r="C1010" t="str">
            <v>UT</v>
          </cell>
          <cell r="D1010">
            <v>13957096.4583333</v>
          </cell>
          <cell r="F1010" t="str">
            <v>394UT</v>
          </cell>
          <cell r="G1010">
            <v>394</v>
          </cell>
          <cell r="H1010" t="str">
            <v>UT</v>
          </cell>
          <cell r="I1010">
            <v>13957096.4583333</v>
          </cell>
        </row>
        <row r="1011">
          <cell r="A1011" t="str">
            <v>394WA</v>
          </cell>
          <cell r="B1011">
            <v>394</v>
          </cell>
          <cell r="C1011" t="str">
            <v>WA</v>
          </cell>
          <cell r="D1011">
            <v>2795319.8729166701</v>
          </cell>
          <cell r="F1011" t="str">
            <v>394WA</v>
          </cell>
          <cell r="G1011">
            <v>394</v>
          </cell>
          <cell r="H1011" t="str">
            <v>WA</v>
          </cell>
          <cell r="I1011">
            <v>2795319.8729166701</v>
          </cell>
        </row>
        <row r="1012">
          <cell r="A1012" t="str">
            <v>394WYP</v>
          </cell>
          <cell r="B1012">
            <v>394</v>
          </cell>
          <cell r="C1012" t="str">
            <v>WYP</v>
          </cell>
          <cell r="D1012">
            <v>3767242.9720833302</v>
          </cell>
          <cell r="F1012" t="str">
            <v>394WYP</v>
          </cell>
          <cell r="G1012">
            <v>394</v>
          </cell>
          <cell r="H1012" t="str">
            <v>WYP</v>
          </cell>
          <cell r="I1012">
            <v>3767242.9720833302</v>
          </cell>
        </row>
        <row r="1013">
          <cell r="A1013" t="str">
            <v>394WYU</v>
          </cell>
          <cell r="B1013">
            <v>394</v>
          </cell>
          <cell r="C1013" t="str">
            <v>WYU</v>
          </cell>
          <cell r="D1013">
            <v>403737.53416666703</v>
          </cell>
          <cell r="F1013" t="str">
            <v>394WYU</v>
          </cell>
          <cell r="G1013">
            <v>394</v>
          </cell>
          <cell r="H1013" t="str">
            <v>WYU</v>
          </cell>
          <cell r="I1013">
            <v>403737.53416666703</v>
          </cell>
        </row>
        <row r="1014">
          <cell r="A1014" t="str">
            <v>395CA</v>
          </cell>
          <cell r="B1014">
            <v>395</v>
          </cell>
          <cell r="C1014" t="str">
            <v>CA</v>
          </cell>
          <cell r="D1014">
            <v>297273.05</v>
          </cell>
          <cell r="F1014" t="str">
            <v>395CA</v>
          </cell>
          <cell r="G1014">
            <v>395</v>
          </cell>
          <cell r="H1014" t="str">
            <v>CA</v>
          </cell>
          <cell r="I1014">
            <v>297273.05</v>
          </cell>
        </row>
        <row r="1015">
          <cell r="A1015" t="str">
            <v>395CAEE</v>
          </cell>
          <cell r="B1015">
            <v>395</v>
          </cell>
          <cell r="C1015" t="str">
            <v>CAEE</v>
          </cell>
          <cell r="D1015">
            <v>1211257.7241666701</v>
          </cell>
          <cell r="F1015" t="str">
            <v>395CAEE</v>
          </cell>
          <cell r="G1015">
            <v>395</v>
          </cell>
          <cell r="H1015" t="str">
            <v>CAEE</v>
          </cell>
          <cell r="I1015">
            <v>1211257.7241666701</v>
          </cell>
        </row>
        <row r="1016">
          <cell r="A1016" t="str">
            <v>395CAGE</v>
          </cell>
          <cell r="B1016">
            <v>395</v>
          </cell>
          <cell r="C1016" t="str">
            <v>CAGE</v>
          </cell>
          <cell r="D1016">
            <v>4815582.4166666698</v>
          </cell>
          <cell r="F1016" t="str">
            <v>395CAGE</v>
          </cell>
          <cell r="G1016">
            <v>395</v>
          </cell>
          <cell r="H1016" t="str">
            <v>CAGE</v>
          </cell>
          <cell r="I1016">
            <v>4815582.4166666698</v>
          </cell>
        </row>
        <row r="1017">
          <cell r="A1017" t="str">
            <v>395CAGW</v>
          </cell>
          <cell r="B1017">
            <v>395</v>
          </cell>
          <cell r="C1017" t="str">
            <v>CAGW</v>
          </cell>
          <cell r="D1017">
            <v>1337331.0683333301</v>
          </cell>
          <cell r="F1017" t="str">
            <v>395CAGW</v>
          </cell>
          <cell r="G1017">
            <v>395</v>
          </cell>
          <cell r="H1017" t="str">
            <v>CAGW</v>
          </cell>
          <cell r="I1017">
            <v>1337331.0683333301</v>
          </cell>
        </row>
        <row r="1018">
          <cell r="A1018" t="str">
            <v>395ID</v>
          </cell>
          <cell r="B1018">
            <v>395</v>
          </cell>
          <cell r="C1018" t="str">
            <v>ID</v>
          </cell>
          <cell r="D1018">
            <v>1319495.3079166701</v>
          </cell>
          <cell r="F1018" t="str">
            <v>395ID</v>
          </cell>
          <cell r="G1018">
            <v>395</v>
          </cell>
          <cell r="H1018" t="str">
            <v>ID</v>
          </cell>
          <cell r="I1018">
            <v>1319495.3079166701</v>
          </cell>
        </row>
        <row r="1019">
          <cell r="A1019" t="str">
            <v>395JBG</v>
          </cell>
          <cell r="B1019">
            <v>395</v>
          </cell>
          <cell r="C1019" t="str">
            <v>JBG</v>
          </cell>
          <cell r="D1019">
            <v>326496.1275</v>
          </cell>
          <cell r="F1019" t="str">
            <v>395JBG</v>
          </cell>
          <cell r="G1019">
            <v>395</v>
          </cell>
          <cell r="H1019" t="str">
            <v>JBG</v>
          </cell>
          <cell r="I1019">
            <v>326496.1275</v>
          </cell>
        </row>
        <row r="1020">
          <cell r="A1020" t="str">
            <v>395OR</v>
          </cell>
          <cell r="B1020">
            <v>395</v>
          </cell>
          <cell r="C1020" t="str">
            <v>OR</v>
          </cell>
          <cell r="D1020">
            <v>7850759.5449999999</v>
          </cell>
          <cell r="F1020" t="str">
            <v>395OR</v>
          </cell>
          <cell r="G1020">
            <v>395</v>
          </cell>
          <cell r="H1020" t="str">
            <v>OR</v>
          </cell>
          <cell r="I1020">
            <v>7850759.5449999999</v>
          </cell>
        </row>
        <row r="1021">
          <cell r="A1021" t="str">
            <v>395SO</v>
          </cell>
          <cell r="B1021">
            <v>395</v>
          </cell>
          <cell r="C1021" t="str">
            <v>SO</v>
          </cell>
          <cell r="D1021">
            <v>4830177.46</v>
          </cell>
          <cell r="F1021" t="str">
            <v>395SO</v>
          </cell>
          <cell r="G1021">
            <v>395</v>
          </cell>
          <cell r="H1021" t="str">
            <v>SO</v>
          </cell>
          <cell r="I1021">
            <v>4830177.46</v>
          </cell>
        </row>
        <row r="1022">
          <cell r="A1022" t="str">
            <v>395UT</v>
          </cell>
          <cell r="B1022">
            <v>395</v>
          </cell>
          <cell r="C1022" t="str">
            <v>UT</v>
          </cell>
          <cell r="D1022">
            <v>7974036.2258333303</v>
          </cell>
          <cell r="F1022" t="str">
            <v>395UT</v>
          </cell>
          <cell r="G1022">
            <v>395</v>
          </cell>
          <cell r="H1022" t="str">
            <v>UT</v>
          </cell>
          <cell r="I1022">
            <v>7974036.2258333303</v>
          </cell>
        </row>
        <row r="1023">
          <cell r="A1023" t="str">
            <v>395WA</v>
          </cell>
          <cell r="B1023">
            <v>395</v>
          </cell>
          <cell r="C1023" t="str">
            <v>WA</v>
          </cell>
          <cell r="D1023">
            <v>1287220.49041667</v>
          </cell>
          <cell r="F1023" t="str">
            <v>395WA</v>
          </cell>
          <cell r="G1023">
            <v>395</v>
          </cell>
          <cell r="H1023" t="str">
            <v>WA</v>
          </cell>
          <cell r="I1023">
            <v>1287220.49041667</v>
          </cell>
        </row>
        <row r="1024">
          <cell r="A1024" t="str">
            <v>395WYP</v>
          </cell>
          <cell r="B1024">
            <v>395</v>
          </cell>
          <cell r="C1024" t="str">
            <v>WYP</v>
          </cell>
          <cell r="D1024">
            <v>2485127.9866666701</v>
          </cell>
          <cell r="F1024" t="str">
            <v>395WYP</v>
          </cell>
          <cell r="G1024">
            <v>395</v>
          </cell>
          <cell r="H1024" t="str">
            <v>WYP</v>
          </cell>
          <cell r="I1024">
            <v>2485127.9866666701</v>
          </cell>
        </row>
        <row r="1025">
          <cell r="A1025" t="str">
            <v>395WYU</v>
          </cell>
          <cell r="B1025">
            <v>395</v>
          </cell>
          <cell r="C1025" t="str">
            <v>WYU</v>
          </cell>
          <cell r="D1025">
            <v>149994.23000000001</v>
          </cell>
          <cell r="F1025" t="str">
            <v>395WYU</v>
          </cell>
          <cell r="G1025">
            <v>395</v>
          </cell>
          <cell r="H1025" t="str">
            <v>WYU</v>
          </cell>
          <cell r="I1025">
            <v>149994.23000000001</v>
          </cell>
        </row>
        <row r="1026">
          <cell r="A1026" t="str">
            <v>396CA</v>
          </cell>
          <cell r="B1026">
            <v>396</v>
          </cell>
          <cell r="C1026" t="str">
            <v>CA</v>
          </cell>
          <cell r="D1026">
            <v>4602003.0354166701</v>
          </cell>
          <cell r="F1026" t="str">
            <v>396CA</v>
          </cell>
          <cell r="G1026">
            <v>396</v>
          </cell>
          <cell r="H1026" t="str">
            <v>CA</v>
          </cell>
          <cell r="I1026">
            <v>4602003.0354166701</v>
          </cell>
        </row>
        <row r="1027">
          <cell r="A1027" t="str">
            <v>396CAEE</v>
          </cell>
          <cell r="B1027">
            <v>396</v>
          </cell>
          <cell r="C1027" t="str">
            <v>CAEE</v>
          </cell>
          <cell r="D1027">
            <v>327247.39124999999</v>
          </cell>
          <cell r="F1027" t="str">
            <v>396CAEE</v>
          </cell>
          <cell r="G1027">
            <v>396</v>
          </cell>
          <cell r="H1027" t="str">
            <v>CAEE</v>
          </cell>
          <cell r="I1027">
            <v>327247.39124999999</v>
          </cell>
        </row>
        <row r="1028">
          <cell r="A1028" t="str">
            <v>396CAGE</v>
          </cell>
          <cell r="B1028">
            <v>396</v>
          </cell>
          <cell r="C1028" t="str">
            <v>CAGE</v>
          </cell>
          <cell r="D1028">
            <v>32697529.627500001</v>
          </cell>
          <cell r="F1028" t="str">
            <v>396CAGE</v>
          </cell>
          <cell r="G1028">
            <v>396</v>
          </cell>
          <cell r="H1028" t="str">
            <v>CAGE</v>
          </cell>
          <cell r="I1028">
            <v>32697529.627500001</v>
          </cell>
        </row>
        <row r="1029">
          <cell r="A1029" t="str">
            <v>396CAGW</v>
          </cell>
          <cell r="B1029">
            <v>396</v>
          </cell>
          <cell r="C1029" t="str">
            <v>CAGW</v>
          </cell>
          <cell r="D1029">
            <v>3592571.0762499999</v>
          </cell>
          <cell r="F1029" t="str">
            <v>396CAGW</v>
          </cell>
          <cell r="G1029">
            <v>396</v>
          </cell>
          <cell r="H1029" t="str">
            <v>CAGW</v>
          </cell>
          <cell r="I1029">
            <v>3592571.0762499999</v>
          </cell>
        </row>
        <row r="1030">
          <cell r="A1030" t="str">
            <v>396ID</v>
          </cell>
          <cell r="B1030">
            <v>396</v>
          </cell>
          <cell r="C1030" t="str">
            <v>ID</v>
          </cell>
          <cell r="D1030">
            <v>10092729.05625</v>
          </cell>
          <cell r="F1030" t="str">
            <v>396ID</v>
          </cell>
          <cell r="G1030">
            <v>396</v>
          </cell>
          <cell r="H1030" t="str">
            <v>ID</v>
          </cell>
          <cell r="I1030">
            <v>10092729.05625</v>
          </cell>
        </row>
        <row r="1031">
          <cell r="A1031" t="str">
            <v>396JBG</v>
          </cell>
          <cell r="B1031">
            <v>396</v>
          </cell>
          <cell r="C1031" t="str">
            <v>JBG</v>
          </cell>
          <cell r="D1031">
            <v>10066212.362500001</v>
          </cell>
          <cell r="F1031" t="str">
            <v>396JBG</v>
          </cell>
          <cell r="G1031">
            <v>396</v>
          </cell>
          <cell r="H1031" t="str">
            <v>JBG</v>
          </cell>
          <cell r="I1031">
            <v>10066212.362500001</v>
          </cell>
        </row>
        <row r="1032">
          <cell r="A1032" t="str">
            <v>396OR</v>
          </cell>
          <cell r="B1032">
            <v>396</v>
          </cell>
          <cell r="C1032" t="str">
            <v>OR</v>
          </cell>
          <cell r="D1032">
            <v>39473885.274999999</v>
          </cell>
          <cell r="F1032" t="str">
            <v>396OR</v>
          </cell>
          <cell r="G1032">
            <v>396</v>
          </cell>
          <cell r="H1032" t="str">
            <v>OR</v>
          </cell>
          <cell r="I1032">
            <v>39473885.274999999</v>
          </cell>
        </row>
        <row r="1033">
          <cell r="A1033" t="str">
            <v>396SO</v>
          </cell>
          <cell r="B1033">
            <v>396</v>
          </cell>
          <cell r="C1033" t="str">
            <v>SO</v>
          </cell>
          <cell r="D1033">
            <v>6102850.5970833302</v>
          </cell>
          <cell r="F1033" t="str">
            <v>396SO</v>
          </cell>
          <cell r="G1033">
            <v>396</v>
          </cell>
          <cell r="H1033" t="str">
            <v>SO</v>
          </cell>
          <cell r="I1033">
            <v>6102850.5970833302</v>
          </cell>
        </row>
        <row r="1034">
          <cell r="A1034" t="str">
            <v>396UT</v>
          </cell>
          <cell r="B1034">
            <v>396</v>
          </cell>
          <cell r="C1034" t="str">
            <v>UT</v>
          </cell>
          <cell r="D1034">
            <v>50246111.090833299</v>
          </cell>
          <cell r="F1034" t="str">
            <v>396UT</v>
          </cell>
          <cell r="G1034">
            <v>396</v>
          </cell>
          <cell r="H1034" t="str">
            <v>UT</v>
          </cell>
          <cell r="I1034">
            <v>50246111.090833299</v>
          </cell>
        </row>
        <row r="1035">
          <cell r="A1035" t="str">
            <v>396WA</v>
          </cell>
          <cell r="B1035">
            <v>396</v>
          </cell>
          <cell r="C1035" t="str">
            <v>WA</v>
          </cell>
          <cell r="D1035">
            <v>8939005.8291666694</v>
          </cell>
          <cell r="F1035" t="str">
            <v>396WA</v>
          </cell>
          <cell r="G1035">
            <v>396</v>
          </cell>
          <cell r="H1035" t="str">
            <v>WA</v>
          </cell>
          <cell r="I1035">
            <v>8939005.8291666694</v>
          </cell>
        </row>
        <row r="1036">
          <cell r="A1036" t="str">
            <v>396WYP</v>
          </cell>
          <cell r="B1036">
            <v>396</v>
          </cell>
          <cell r="C1036" t="str">
            <v>WYP</v>
          </cell>
          <cell r="D1036">
            <v>17001665.849583302</v>
          </cell>
          <cell r="F1036" t="str">
            <v>396WYP</v>
          </cell>
          <cell r="G1036">
            <v>396</v>
          </cell>
          <cell r="H1036" t="str">
            <v>WYP</v>
          </cell>
          <cell r="I1036">
            <v>17001665.849583302</v>
          </cell>
        </row>
        <row r="1037">
          <cell r="A1037" t="str">
            <v>396WYU</v>
          </cell>
          <cell r="B1037">
            <v>396</v>
          </cell>
          <cell r="C1037" t="str">
            <v>WYU</v>
          </cell>
          <cell r="D1037">
            <v>3703857.2025000001</v>
          </cell>
          <cell r="F1037" t="str">
            <v>396WYU</v>
          </cell>
          <cell r="G1037">
            <v>396</v>
          </cell>
          <cell r="H1037" t="str">
            <v>WYU</v>
          </cell>
          <cell r="I1037">
            <v>3703857.2025000001</v>
          </cell>
        </row>
        <row r="1038">
          <cell r="A1038" t="str">
            <v>397CA</v>
          </cell>
          <cell r="B1038">
            <v>397</v>
          </cell>
          <cell r="C1038" t="str">
            <v>CA</v>
          </cell>
          <cell r="D1038">
            <v>6364724.5774999997</v>
          </cell>
          <cell r="F1038" t="str">
            <v>397CA</v>
          </cell>
          <cell r="G1038">
            <v>397</v>
          </cell>
          <cell r="H1038" t="str">
            <v>CA</v>
          </cell>
          <cell r="I1038">
            <v>6364724.5774999997</v>
          </cell>
        </row>
        <row r="1039">
          <cell r="A1039" t="str">
            <v>397CAEE</v>
          </cell>
          <cell r="B1039">
            <v>397</v>
          </cell>
          <cell r="C1039" t="str">
            <v>CAEE</v>
          </cell>
          <cell r="D1039">
            <v>341557.84</v>
          </cell>
          <cell r="F1039" t="str">
            <v>397CAEE</v>
          </cell>
          <cell r="G1039">
            <v>397</v>
          </cell>
          <cell r="H1039" t="str">
            <v>CAEE</v>
          </cell>
          <cell r="I1039">
            <v>341557.84</v>
          </cell>
        </row>
        <row r="1040">
          <cell r="A1040" t="str">
            <v>397CAGE</v>
          </cell>
          <cell r="B1040">
            <v>397</v>
          </cell>
          <cell r="C1040" t="str">
            <v>CAGE</v>
          </cell>
          <cell r="D1040">
            <v>121125836.790417</v>
          </cell>
          <cell r="F1040" t="str">
            <v>397CAGE</v>
          </cell>
          <cell r="G1040">
            <v>397</v>
          </cell>
          <cell r="H1040" t="str">
            <v>CAGE</v>
          </cell>
          <cell r="I1040">
            <v>121125836.790417</v>
          </cell>
        </row>
        <row r="1041">
          <cell r="A1041" t="str">
            <v>397CAGW</v>
          </cell>
          <cell r="B1041">
            <v>397</v>
          </cell>
          <cell r="C1041" t="str">
            <v>CAGW</v>
          </cell>
          <cell r="D1041">
            <v>51367255.708750002</v>
          </cell>
          <cell r="F1041" t="str">
            <v>397CAGW</v>
          </cell>
          <cell r="G1041">
            <v>397</v>
          </cell>
          <cell r="H1041" t="str">
            <v>CAGW</v>
          </cell>
          <cell r="I1041">
            <v>51367255.708750002</v>
          </cell>
        </row>
        <row r="1042">
          <cell r="A1042" t="str">
            <v>397CN</v>
          </cell>
          <cell r="B1042">
            <v>397</v>
          </cell>
          <cell r="C1042" t="str">
            <v>CN</v>
          </cell>
          <cell r="D1042">
            <v>3848526.0529166702</v>
          </cell>
          <cell r="F1042" t="str">
            <v>397CN</v>
          </cell>
          <cell r="G1042">
            <v>397</v>
          </cell>
          <cell r="H1042" t="str">
            <v>CN</v>
          </cell>
          <cell r="I1042">
            <v>3848526.0529166702</v>
          </cell>
        </row>
        <row r="1043">
          <cell r="A1043" t="str">
            <v>397ID</v>
          </cell>
          <cell r="B1043">
            <v>397</v>
          </cell>
          <cell r="C1043" t="str">
            <v>ID</v>
          </cell>
          <cell r="D1043">
            <v>11310676.383333299</v>
          </cell>
          <cell r="F1043" t="str">
            <v>397ID</v>
          </cell>
          <cell r="G1043">
            <v>397</v>
          </cell>
          <cell r="H1043" t="str">
            <v>ID</v>
          </cell>
          <cell r="I1043">
            <v>11310676.383333299</v>
          </cell>
        </row>
        <row r="1044">
          <cell r="A1044" t="str">
            <v>397JBG</v>
          </cell>
          <cell r="B1044">
            <v>397</v>
          </cell>
          <cell r="C1044" t="str">
            <v>JBG</v>
          </cell>
          <cell r="D1044">
            <v>4792061.1304166699</v>
          </cell>
          <cell r="F1044" t="str">
            <v>397JBG</v>
          </cell>
          <cell r="G1044">
            <v>397</v>
          </cell>
          <cell r="H1044" t="str">
            <v>JBG</v>
          </cell>
          <cell r="I1044">
            <v>4792061.1304166699</v>
          </cell>
        </row>
        <row r="1045">
          <cell r="A1045" t="str">
            <v>397OR</v>
          </cell>
          <cell r="B1045">
            <v>397</v>
          </cell>
          <cell r="C1045" t="str">
            <v>OR</v>
          </cell>
          <cell r="D1045">
            <v>72628320.333333299</v>
          </cell>
          <cell r="F1045" t="str">
            <v>397OR</v>
          </cell>
          <cell r="G1045">
            <v>397</v>
          </cell>
          <cell r="H1045" t="str">
            <v>OR</v>
          </cell>
          <cell r="I1045">
            <v>72628320.333333299</v>
          </cell>
        </row>
        <row r="1046">
          <cell r="A1046" t="str">
            <v>397SG</v>
          </cell>
          <cell r="B1046">
            <v>397</v>
          </cell>
          <cell r="C1046" t="str">
            <v>SG</v>
          </cell>
          <cell r="D1046">
            <v>138683.51</v>
          </cell>
          <cell r="F1046" t="str">
            <v>397SG</v>
          </cell>
          <cell r="G1046">
            <v>397</v>
          </cell>
          <cell r="H1046" t="str">
            <v>SG</v>
          </cell>
          <cell r="I1046">
            <v>138683.51</v>
          </cell>
        </row>
        <row r="1047">
          <cell r="A1047" t="str">
            <v>397SO</v>
          </cell>
          <cell r="B1047">
            <v>397</v>
          </cell>
          <cell r="C1047" t="str">
            <v>SO</v>
          </cell>
          <cell r="D1047">
            <v>91729684.948750004</v>
          </cell>
          <cell r="F1047" t="str">
            <v>397SO</v>
          </cell>
          <cell r="G1047">
            <v>397</v>
          </cell>
          <cell r="H1047" t="str">
            <v>SO</v>
          </cell>
          <cell r="I1047">
            <v>91729684.948750004</v>
          </cell>
        </row>
        <row r="1048">
          <cell r="A1048" t="str">
            <v>397UT</v>
          </cell>
          <cell r="B1048">
            <v>397</v>
          </cell>
          <cell r="C1048" t="str">
            <v>UT</v>
          </cell>
          <cell r="D1048">
            <v>62785447.141249999</v>
          </cell>
          <cell r="F1048" t="str">
            <v>397UT</v>
          </cell>
          <cell r="G1048">
            <v>397</v>
          </cell>
          <cell r="H1048" t="str">
            <v>UT</v>
          </cell>
          <cell r="I1048">
            <v>62785447.141249999</v>
          </cell>
        </row>
        <row r="1049">
          <cell r="A1049" t="str">
            <v>397WA</v>
          </cell>
          <cell r="B1049">
            <v>397</v>
          </cell>
          <cell r="C1049" t="str">
            <v>WA</v>
          </cell>
          <cell r="D1049">
            <v>13681784.692916701</v>
          </cell>
          <cell r="F1049" t="str">
            <v>397WA</v>
          </cell>
          <cell r="G1049">
            <v>397</v>
          </cell>
          <cell r="H1049" t="str">
            <v>WA</v>
          </cell>
          <cell r="I1049">
            <v>13681784.692916701</v>
          </cell>
        </row>
        <row r="1050">
          <cell r="A1050" t="str">
            <v>397WYP</v>
          </cell>
          <cell r="B1050">
            <v>397</v>
          </cell>
          <cell r="C1050" t="str">
            <v>WYP</v>
          </cell>
          <cell r="D1050">
            <v>24761377.3325</v>
          </cell>
          <cell r="F1050" t="str">
            <v>397WYP</v>
          </cell>
          <cell r="G1050">
            <v>397</v>
          </cell>
          <cell r="H1050" t="str">
            <v>WYP</v>
          </cell>
          <cell r="I1050">
            <v>24761377.3325</v>
          </cell>
        </row>
        <row r="1051">
          <cell r="A1051" t="str">
            <v>397WYU</v>
          </cell>
          <cell r="B1051">
            <v>397</v>
          </cell>
          <cell r="C1051" t="str">
            <v>WYU</v>
          </cell>
          <cell r="D1051">
            <v>6061118.2512499997</v>
          </cell>
          <cell r="F1051" t="str">
            <v>397WYU</v>
          </cell>
          <cell r="G1051">
            <v>397</v>
          </cell>
          <cell r="H1051" t="str">
            <v>WYU</v>
          </cell>
          <cell r="I1051">
            <v>6061118.2512499997</v>
          </cell>
        </row>
        <row r="1052">
          <cell r="A1052" t="str">
            <v>398CA</v>
          </cell>
          <cell r="B1052">
            <v>398</v>
          </cell>
          <cell r="C1052" t="str">
            <v>CA</v>
          </cell>
          <cell r="D1052">
            <v>50156.154999999999</v>
          </cell>
          <cell r="F1052" t="str">
            <v>398CA</v>
          </cell>
          <cell r="G1052">
            <v>398</v>
          </cell>
          <cell r="H1052" t="str">
            <v>CA</v>
          </cell>
          <cell r="I1052">
            <v>50156.154999999999</v>
          </cell>
        </row>
        <row r="1053">
          <cell r="A1053" t="str">
            <v>398CAEE</v>
          </cell>
          <cell r="B1053">
            <v>398</v>
          </cell>
          <cell r="C1053" t="str">
            <v>CAEE</v>
          </cell>
          <cell r="D1053">
            <v>4269.91</v>
          </cell>
          <cell r="F1053" t="str">
            <v>398CAEE</v>
          </cell>
          <cell r="G1053">
            <v>398</v>
          </cell>
          <cell r="H1053" t="str">
            <v>CAEE</v>
          </cell>
          <cell r="I1053">
            <v>4269.91</v>
          </cell>
        </row>
        <row r="1054">
          <cell r="A1054" t="str">
            <v>398CAGE</v>
          </cell>
          <cell r="B1054">
            <v>398</v>
          </cell>
          <cell r="C1054" t="str">
            <v>CAGE</v>
          </cell>
          <cell r="D1054">
            <v>2050079.04208333</v>
          </cell>
          <cell r="F1054" t="str">
            <v>398CAGE</v>
          </cell>
          <cell r="G1054">
            <v>398</v>
          </cell>
          <cell r="H1054" t="str">
            <v>CAGE</v>
          </cell>
          <cell r="I1054">
            <v>2050079.04208333</v>
          </cell>
        </row>
        <row r="1055">
          <cell r="A1055" t="str">
            <v>398CAGW</v>
          </cell>
          <cell r="B1055">
            <v>398</v>
          </cell>
          <cell r="C1055" t="str">
            <v>CAGW</v>
          </cell>
          <cell r="D1055">
            <v>407724.83083333302</v>
          </cell>
          <cell r="F1055" t="str">
            <v>398CAGW</v>
          </cell>
          <cell r="G1055">
            <v>398</v>
          </cell>
          <cell r="H1055" t="str">
            <v>CAGW</v>
          </cell>
          <cell r="I1055">
            <v>407724.83083333302</v>
          </cell>
        </row>
        <row r="1056">
          <cell r="A1056" t="str">
            <v>398CN</v>
          </cell>
          <cell r="B1056">
            <v>398</v>
          </cell>
          <cell r="C1056" t="str">
            <v>CN</v>
          </cell>
          <cell r="D1056">
            <v>74544.153749999998</v>
          </cell>
          <cell r="F1056" t="str">
            <v>398CN</v>
          </cell>
          <cell r="G1056">
            <v>398</v>
          </cell>
          <cell r="H1056" t="str">
            <v>CN</v>
          </cell>
          <cell r="I1056">
            <v>74544.153749999998</v>
          </cell>
        </row>
        <row r="1057">
          <cell r="A1057" t="str">
            <v>398ID</v>
          </cell>
          <cell r="B1057">
            <v>398</v>
          </cell>
          <cell r="C1057" t="str">
            <v>ID</v>
          </cell>
          <cell r="D1057">
            <v>82402.659166666694</v>
          </cell>
          <cell r="F1057" t="str">
            <v>398ID</v>
          </cell>
          <cell r="G1057">
            <v>398</v>
          </cell>
          <cell r="H1057" t="str">
            <v>ID</v>
          </cell>
          <cell r="I1057">
            <v>82402.659166666694</v>
          </cell>
        </row>
        <row r="1058">
          <cell r="A1058" t="str">
            <v>398JBG</v>
          </cell>
          <cell r="B1058">
            <v>398</v>
          </cell>
          <cell r="C1058" t="str">
            <v>JBG</v>
          </cell>
          <cell r="D1058">
            <v>186493.40125</v>
          </cell>
          <cell r="F1058" t="str">
            <v>398JBG</v>
          </cell>
          <cell r="G1058">
            <v>398</v>
          </cell>
          <cell r="H1058" t="str">
            <v>JBG</v>
          </cell>
          <cell r="I1058">
            <v>186493.40125</v>
          </cell>
        </row>
        <row r="1059">
          <cell r="A1059" t="str">
            <v>398OR</v>
          </cell>
          <cell r="B1059">
            <v>398</v>
          </cell>
          <cell r="C1059" t="str">
            <v>OR</v>
          </cell>
          <cell r="D1059">
            <v>1103402.5470833301</v>
          </cell>
          <cell r="F1059" t="str">
            <v>398OR</v>
          </cell>
          <cell r="G1059">
            <v>398</v>
          </cell>
          <cell r="H1059" t="str">
            <v>OR</v>
          </cell>
          <cell r="I1059">
            <v>1103402.5470833301</v>
          </cell>
        </row>
        <row r="1060">
          <cell r="A1060" t="str">
            <v>398SO</v>
          </cell>
          <cell r="B1060">
            <v>398</v>
          </cell>
          <cell r="C1060" t="str">
            <v>SO</v>
          </cell>
          <cell r="D1060">
            <v>2325844.7791666701</v>
          </cell>
          <cell r="F1060" t="str">
            <v>398SO</v>
          </cell>
          <cell r="G1060">
            <v>398</v>
          </cell>
          <cell r="H1060" t="str">
            <v>SO</v>
          </cell>
          <cell r="I1060">
            <v>2325844.7791666701</v>
          </cell>
        </row>
        <row r="1061">
          <cell r="A1061" t="str">
            <v>398UT</v>
          </cell>
          <cell r="B1061">
            <v>398</v>
          </cell>
          <cell r="C1061" t="str">
            <v>UT</v>
          </cell>
          <cell r="D1061">
            <v>1305558.19833333</v>
          </cell>
          <cell r="F1061" t="str">
            <v>398UT</v>
          </cell>
          <cell r="G1061">
            <v>398</v>
          </cell>
          <cell r="H1061" t="str">
            <v>UT</v>
          </cell>
          <cell r="I1061">
            <v>1305558.19833333</v>
          </cell>
        </row>
        <row r="1062">
          <cell r="A1062" t="str">
            <v>398WA</v>
          </cell>
          <cell r="B1062">
            <v>398</v>
          </cell>
          <cell r="C1062" t="str">
            <v>WA</v>
          </cell>
          <cell r="D1062">
            <v>182536.20333333299</v>
          </cell>
          <cell r="F1062" t="str">
            <v>398WA</v>
          </cell>
          <cell r="G1062">
            <v>398</v>
          </cell>
          <cell r="H1062" t="str">
            <v>WA</v>
          </cell>
          <cell r="I1062">
            <v>182536.20333333299</v>
          </cell>
        </row>
        <row r="1063">
          <cell r="A1063" t="str">
            <v>398WYP</v>
          </cell>
          <cell r="B1063">
            <v>398</v>
          </cell>
          <cell r="C1063" t="str">
            <v>WYP</v>
          </cell>
          <cell r="D1063">
            <v>184701.01749999999</v>
          </cell>
          <cell r="F1063" t="str">
            <v>398WYP</v>
          </cell>
          <cell r="G1063">
            <v>398</v>
          </cell>
          <cell r="H1063" t="str">
            <v>WYP</v>
          </cell>
          <cell r="I1063">
            <v>184701.01749999999</v>
          </cell>
        </row>
        <row r="1064">
          <cell r="A1064" t="str">
            <v>398WYU</v>
          </cell>
          <cell r="B1064">
            <v>398</v>
          </cell>
          <cell r="C1064" t="str">
            <v>WYU</v>
          </cell>
          <cell r="D1064">
            <v>15968.7075</v>
          </cell>
          <cell r="F1064" t="str">
            <v>398WYU</v>
          </cell>
          <cell r="G1064">
            <v>398</v>
          </cell>
          <cell r="H1064" t="str">
            <v>WYU</v>
          </cell>
          <cell r="I1064">
            <v>15968.7075</v>
          </cell>
        </row>
        <row r="1065">
          <cell r="A1065" t="str">
            <v>399CAEE</v>
          </cell>
          <cell r="B1065">
            <v>399</v>
          </cell>
          <cell r="C1065" t="str">
            <v>CAEE</v>
          </cell>
          <cell r="D1065">
            <v>1854827.92</v>
          </cell>
          <cell r="F1065" t="str">
            <v>399CAEE</v>
          </cell>
          <cell r="G1065">
            <v>399</v>
          </cell>
          <cell r="H1065" t="str">
            <v>CAEE</v>
          </cell>
          <cell r="I1065">
            <v>1854827.92</v>
          </cell>
        </row>
        <row r="1066">
          <cell r="A1066" t="str">
            <v>2281ID</v>
          </cell>
          <cell r="B1066">
            <v>2281</v>
          </cell>
          <cell r="C1066" t="str">
            <v>ID</v>
          </cell>
          <cell r="D1066">
            <v>-776165.51</v>
          </cell>
          <cell r="F1066" t="str">
            <v>2281ID</v>
          </cell>
          <cell r="G1066">
            <v>2281</v>
          </cell>
          <cell r="H1066" t="str">
            <v>ID</v>
          </cell>
          <cell r="I1066">
            <v>-776165.51</v>
          </cell>
        </row>
        <row r="1067">
          <cell r="A1067" t="str">
            <v>2281OR</v>
          </cell>
          <cell r="B1067">
            <v>2281</v>
          </cell>
          <cell r="C1067" t="str">
            <v>OR</v>
          </cell>
          <cell r="D1067">
            <v>6336383.7400000002</v>
          </cell>
          <cell r="F1067" t="str">
            <v>2281OR</v>
          </cell>
          <cell r="G1067">
            <v>2281</v>
          </cell>
          <cell r="H1067" t="str">
            <v>OR</v>
          </cell>
          <cell r="I1067">
            <v>6336383.7400000002</v>
          </cell>
        </row>
        <row r="1068">
          <cell r="A1068" t="str">
            <v>2281OTHER</v>
          </cell>
          <cell r="B1068">
            <v>2281</v>
          </cell>
          <cell r="C1068" t="str">
            <v>OTHER</v>
          </cell>
          <cell r="D1068">
            <v>-6274723.8233333305</v>
          </cell>
          <cell r="F1068" t="str">
            <v>2281OTHER</v>
          </cell>
          <cell r="G1068">
            <v>2281</v>
          </cell>
          <cell r="H1068" t="str">
            <v>OTHER</v>
          </cell>
          <cell r="I1068">
            <v>-6274723.8233333305</v>
          </cell>
        </row>
        <row r="1069">
          <cell r="A1069" t="str">
            <v>2281SO</v>
          </cell>
          <cell r="B1069">
            <v>2281</v>
          </cell>
          <cell r="C1069" t="str">
            <v>SO</v>
          </cell>
          <cell r="D1069">
            <v>0</v>
          </cell>
          <cell r="F1069" t="str">
            <v>2281SO</v>
          </cell>
          <cell r="G1069">
            <v>2281</v>
          </cell>
          <cell r="H1069" t="str">
            <v>SO</v>
          </cell>
          <cell r="I1069">
            <v>0</v>
          </cell>
        </row>
        <row r="1070">
          <cell r="A1070" t="str">
            <v>2281UT</v>
          </cell>
          <cell r="B1070">
            <v>2281</v>
          </cell>
          <cell r="C1070" t="str">
            <v>UT</v>
          </cell>
          <cell r="D1070">
            <v>-6849323.4295833297</v>
          </cell>
          <cell r="F1070" t="str">
            <v>2281UT</v>
          </cell>
          <cell r="G1070">
            <v>2281</v>
          </cell>
          <cell r="H1070" t="str">
            <v>UT</v>
          </cell>
          <cell r="I1070">
            <v>-6849323.4295833297</v>
          </cell>
        </row>
        <row r="1071">
          <cell r="A1071" t="str">
            <v>2281WYP</v>
          </cell>
          <cell r="B1071">
            <v>2281</v>
          </cell>
          <cell r="C1071" t="str">
            <v>WYP</v>
          </cell>
          <cell r="D1071">
            <v>-771126.64</v>
          </cell>
          <cell r="F1071" t="str">
            <v>2281WYP</v>
          </cell>
          <cell r="G1071">
            <v>2281</v>
          </cell>
          <cell r="H1071" t="str">
            <v>WYP</v>
          </cell>
          <cell r="I1071">
            <v>-771126.64</v>
          </cell>
        </row>
        <row r="1072">
          <cell r="A1072" t="str">
            <v>2282OR</v>
          </cell>
          <cell r="B1072">
            <v>2282</v>
          </cell>
          <cell r="C1072" t="str">
            <v>OR</v>
          </cell>
          <cell r="D1072">
            <v>-8144964.9020833299</v>
          </cell>
          <cell r="F1072" t="str">
            <v>2282OR</v>
          </cell>
          <cell r="G1072">
            <v>2282</v>
          </cell>
          <cell r="H1072" t="str">
            <v>OR</v>
          </cell>
          <cell r="I1072">
            <v>-8144964.9020833299</v>
          </cell>
        </row>
        <row r="1073">
          <cell r="A1073" t="str">
            <v>2282SO</v>
          </cell>
          <cell r="B1073">
            <v>2282</v>
          </cell>
          <cell r="C1073" t="str">
            <v>SO</v>
          </cell>
          <cell r="D1073">
            <v>-13373467.7266667</v>
          </cell>
          <cell r="F1073" t="str">
            <v>2282SO</v>
          </cell>
          <cell r="G1073">
            <v>2282</v>
          </cell>
          <cell r="H1073" t="str">
            <v>SO</v>
          </cell>
          <cell r="I1073">
            <v>-13373467.7266667</v>
          </cell>
        </row>
        <row r="1074">
          <cell r="A1074" t="str">
            <v>2283JBE</v>
          </cell>
          <cell r="B1074">
            <v>2283</v>
          </cell>
          <cell r="C1074" t="str">
            <v>JBE</v>
          </cell>
          <cell r="D1074">
            <v>0</v>
          </cell>
          <cell r="F1074" t="str">
            <v>2283JBE</v>
          </cell>
          <cell r="G1074">
            <v>2283</v>
          </cell>
          <cell r="H1074" t="str">
            <v>JBE</v>
          </cell>
          <cell r="I1074">
            <v>0</v>
          </cell>
        </row>
        <row r="1075">
          <cell r="A1075" t="str">
            <v>2283SO</v>
          </cell>
          <cell r="B1075">
            <v>2283</v>
          </cell>
          <cell r="C1075" t="str">
            <v>SO</v>
          </cell>
          <cell r="D1075">
            <v>-2425539.25</v>
          </cell>
          <cell r="F1075" t="str">
            <v>2283SO</v>
          </cell>
          <cell r="G1075">
            <v>2283</v>
          </cell>
          <cell r="H1075" t="str">
            <v>SO</v>
          </cell>
          <cell r="I1075">
            <v>-2425539.25</v>
          </cell>
        </row>
        <row r="1076">
          <cell r="A1076" t="str">
            <v>18222OR</v>
          </cell>
          <cell r="B1076">
            <v>18222</v>
          </cell>
          <cell r="C1076" t="str">
            <v>OR</v>
          </cell>
          <cell r="D1076">
            <v>0</v>
          </cell>
          <cell r="F1076" t="str">
            <v>18222OR</v>
          </cell>
          <cell r="G1076">
            <v>18222</v>
          </cell>
          <cell r="H1076" t="str">
            <v>OR</v>
          </cell>
          <cell r="I1076">
            <v>0</v>
          </cell>
        </row>
        <row r="1077">
          <cell r="A1077" t="str">
            <v>18222TROJD</v>
          </cell>
          <cell r="B1077">
            <v>18222</v>
          </cell>
          <cell r="C1077" t="str">
            <v>TROJD</v>
          </cell>
          <cell r="D1077">
            <v>0</v>
          </cell>
          <cell r="F1077" t="str">
            <v>18222TROJD</v>
          </cell>
          <cell r="G1077">
            <v>18222</v>
          </cell>
          <cell r="H1077" t="str">
            <v>TROJD</v>
          </cell>
          <cell r="I1077">
            <v>0</v>
          </cell>
        </row>
        <row r="1078">
          <cell r="A1078" t="str">
            <v>18222TROJP</v>
          </cell>
          <cell r="B1078">
            <v>18222</v>
          </cell>
          <cell r="C1078" t="str">
            <v>TROJP</v>
          </cell>
          <cell r="D1078">
            <v>0</v>
          </cell>
          <cell r="F1078" t="str">
            <v>18222TROJP</v>
          </cell>
          <cell r="G1078">
            <v>18222</v>
          </cell>
          <cell r="H1078" t="str">
            <v>TROJP</v>
          </cell>
          <cell r="I1078">
            <v>0</v>
          </cell>
        </row>
        <row r="1079">
          <cell r="A1079" t="str">
            <v>18222WA</v>
          </cell>
          <cell r="B1079">
            <v>18222</v>
          </cell>
          <cell r="C1079" t="str">
            <v>WA</v>
          </cell>
          <cell r="D1079">
            <v>0</v>
          </cell>
          <cell r="F1079" t="str">
            <v>18222WA</v>
          </cell>
          <cell r="G1079">
            <v>18222</v>
          </cell>
          <cell r="H1079" t="str">
            <v>WA</v>
          </cell>
          <cell r="I1079">
            <v>0</v>
          </cell>
        </row>
        <row r="1080">
          <cell r="A1080" t="str">
            <v>22841CAEE</v>
          </cell>
          <cell r="B1080">
            <v>22841</v>
          </cell>
          <cell r="C1080" t="str">
            <v>CAEE</v>
          </cell>
          <cell r="D1080">
            <v>0</v>
          </cell>
          <cell r="F1080" t="str">
            <v>22841CAEE</v>
          </cell>
          <cell r="G1080">
            <v>22841</v>
          </cell>
          <cell r="H1080" t="str">
            <v>CAEE</v>
          </cell>
          <cell r="I1080">
            <v>0</v>
          </cell>
        </row>
        <row r="1081">
          <cell r="A1081" t="str">
            <v>22841CAGW</v>
          </cell>
          <cell r="B1081">
            <v>22841</v>
          </cell>
          <cell r="C1081" t="str">
            <v>CAGW</v>
          </cell>
          <cell r="D1081">
            <v>-571850.28</v>
          </cell>
          <cell r="F1081" t="str">
            <v>22841CAGW</v>
          </cell>
          <cell r="G1081">
            <v>22841</v>
          </cell>
          <cell r="H1081" t="str">
            <v>CAGW</v>
          </cell>
          <cell r="I1081">
            <v>-571850.28</v>
          </cell>
        </row>
        <row r="1082">
          <cell r="A1082" t="str">
            <v>22842TROJD</v>
          </cell>
          <cell r="B1082">
            <v>22842</v>
          </cell>
          <cell r="C1082" t="str">
            <v>TROJD</v>
          </cell>
          <cell r="D1082">
            <v>0</v>
          </cell>
          <cell r="F1082" t="str">
            <v>22842TROJD</v>
          </cell>
          <cell r="G1082">
            <v>22842</v>
          </cell>
          <cell r="H1082" t="str">
            <v>TROJD</v>
          </cell>
          <cell r="I1082">
            <v>0</v>
          </cell>
        </row>
        <row r="1083">
          <cell r="A1083" t="str">
            <v>25316CAEE</v>
          </cell>
          <cell r="B1083">
            <v>25316</v>
          </cell>
          <cell r="C1083" t="str">
            <v>CAEE</v>
          </cell>
          <cell r="D1083">
            <v>-2601958.3333333302</v>
          </cell>
          <cell r="F1083" t="str">
            <v>25316CAEE</v>
          </cell>
          <cell r="G1083">
            <v>25316</v>
          </cell>
          <cell r="H1083" t="str">
            <v>CAEE</v>
          </cell>
          <cell r="I1083">
            <v>-2601958.3333333302</v>
          </cell>
        </row>
        <row r="1084">
          <cell r="A1084" t="str">
            <v>25317CAEE</v>
          </cell>
          <cell r="B1084">
            <v>25317</v>
          </cell>
          <cell r="C1084" t="str">
            <v>CAEE</v>
          </cell>
          <cell r="D1084">
            <v>-2607612.7916666698</v>
          </cell>
          <cell r="F1084" t="str">
            <v>25317CAEE</v>
          </cell>
          <cell r="G1084">
            <v>25317</v>
          </cell>
          <cell r="H1084" t="str">
            <v>CAEE</v>
          </cell>
          <cell r="I1084">
            <v>-2607612.7916666698</v>
          </cell>
        </row>
        <row r="1085">
          <cell r="A1085" t="str">
            <v>25318CAGE</v>
          </cell>
          <cell r="B1085">
            <v>25318</v>
          </cell>
          <cell r="C1085" t="str">
            <v>CAGE</v>
          </cell>
          <cell r="D1085">
            <v>-273000</v>
          </cell>
          <cell r="F1085" t="str">
            <v>25318CAGE</v>
          </cell>
          <cell r="G1085">
            <v>25318</v>
          </cell>
          <cell r="H1085" t="str">
            <v>CAGE</v>
          </cell>
          <cell r="I1085">
            <v>-273000</v>
          </cell>
        </row>
        <row r="1086">
          <cell r="A1086" t="str">
            <v>25318SNPPS</v>
          </cell>
          <cell r="B1086">
            <v>25318</v>
          </cell>
          <cell r="C1086" t="str">
            <v>SNPPS</v>
          </cell>
          <cell r="D1086">
            <v>0</v>
          </cell>
          <cell r="F1086" t="str">
            <v>25318SNPPS</v>
          </cell>
          <cell r="G1086">
            <v>25318</v>
          </cell>
          <cell r="H1086" t="str">
            <v>SNPPS</v>
          </cell>
          <cell r="I1086">
            <v>0</v>
          </cell>
        </row>
        <row r="1087">
          <cell r="A1087" t="str">
            <v>25325CAEE</v>
          </cell>
          <cell r="B1087">
            <v>25325</v>
          </cell>
          <cell r="C1087" t="str">
            <v>CAEE</v>
          </cell>
          <cell r="D1087">
            <v>0</v>
          </cell>
          <cell r="F1087" t="str">
            <v>25325CAEE</v>
          </cell>
          <cell r="G1087">
            <v>25325</v>
          </cell>
          <cell r="H1087" t="str">
            <v>CAEE</v>
          </cell>
          <cell r="I1087">
            <v>0</v>
          </cell>
        </row>
        <row r="1088">
          <cell r="A1088" t="str">
            <v>25335CAEE</v>
          </cell>
          <cell r="B1088">
            <v>25335</v>
          </cell>
          <cell r="C1088" t="str">
            <v>CAEE</v>
          </cell>
          <cell r="D1088">
            <v>-115119099.34</v>
          </cell>
          <cell r="F1088" t="str">
            <v>25335CAEE</v>
          </cell>
          <cell r="G1088">
            <v>25335</v>
          </cell>
          <cell r="H1088" t="str">
            <v>CAEE</v>
          </cell>
          <cell r="I1088">
            <v>-115119099.34</v>
          </cell>
        </row>
        <row r="1089">
          <cell r="A1089" t="str">
            <v>25399CA</v>
          </cell>
          <cell r="B1089">
            <v>25399</v>
          </cell>
          <cell r="C1089" t="str">
            <v>CA</v>
          </cell>
          <cell r="D1089">
            <v>-250809.92583333299</v>
          </cell>
          <cell r="F1089" t="str">
            <v>25399CA</v>
          </cell>
          <cell r="G1089">
            <v>25399</v>
          </cell>
          <cell r="H1089" t="str">
            <v>CA</v>
          </cell>
          <cell r="I1089">
            <v>-250809.92583333299</v>
          </cell>
        </row>
        <row r="1090">
          <cell r="A1090" t="str">
            <v>25399CAEE</v>
          </cell>
          <cell r="B1090">
            <v>25399</v>
          </cell>
          <cell r="C1090" t="str">
            <v>CAEE</v>
          </cell>
          <cell r="D1090">
            <v>-7130292.7554166699</v>
          </cell>
          <cell r="F1090" t="str">
            <v>25399CAEE</v>
          </cell>
          <cell r="G1090">
            <v>25399</v>
          </cell>
          <cell r="H1090" t="str">
            <v>CAEE</v>
          </cell>
          <cell r="I1090">
            <v>-7130292.7554166699</v>
          </cell>
        </row>
        <row r="1091">
          <cell r="A1091" t="str">
            <v>25399CAEW</v>
          </cell>
          <cell r="B1091">
            <v>25399</v>
          </cell>
          <cell r="C1091" t="str">
            <v>CAEW</v>
          </cell>
          <cell r="D1091">
            <v>0</v>
          </cell>
          <cell r="F1091" t="str">
            <v>25399CAEW</v>
          </cell>
          <cell r="G1091">
            <v>25399</v>
          </cell>
          <cell r="H1091" t="str">
            <v>CAEW</v>
          </cell>
          <cell r="I1091">
            <v>0</v>
          </cell>
        </row>
        <row r="1092">
          <cell r="A1092" t="str">
            <v>25399CAGE</v>
          </cell>
          <cell r="B1092">
            <v>25399</v>
          </cell>
          <cell r="C1092" t="str">
            <v>CAGE</v>
          </cell>
          <cell r="D1092">
            <v>-7085931.8274999997</v>
          </cell>
          <cell r="F1092" t="str">
            <v>25399CAGE</v>
          </cell>
          <cell r="G1092">
            <v>25399</v>
          </cell>
          <cell r="H1092" t="str">
            <v>CAGE</v>
          </cell>
          <cell r="I1092">
            <v>-7085931.8274999997</v>
          </cell>
        </row>
        <row r="1093">
          <cell r="A1093" t="str">
            <v>25399CAGW</v>
          </cell>
          <cell r="B1093">
            <v>25399</v>
          </cell>
          <cell r="C1093" t="str">
            <v>CAGW</v>
          </cell>
          <cell r="D1093">
            <v>-401638.88416666701</v>
          </cell>
          <cell r="F1093" t="str">
            <v>25399CAGW</v>
          </cell>
          <cell r="G1093">
            <v>25399</v>
          </cell>
          <cell r="H1093" t="str">
            <v>CAGW</v>
          </cell>
          <cell r="I1093">
            <v>-401638.88416666701</v>
          </cell>
        </row>
        <row r="1094">
          <cell r="A1094" t="str">
            <v>25399ID</v>
          </cell>
          <cell r="B1094">
            <v>25399</v>
          </cell>
          <cell r="C1094" t="str">
            <v>ID</v>
          </cell>
          <cell r="D1094">
            <v>-58880.026250000003</v>
          </cell>
          <cell r="F1094" t="str">
            <v>25399ID</v>
          </cell>
          <cell r="G1094">
            <v>25399</v>
          </cell>
          <cell r="H1094" t="str">
            <v>ID</v>
          </cell>
          <cell r="I1094">
            <v>-58880.026250000003</v>
          </cell>
        </row>
        <row r="1095">
          <cell r="A1095" t="str">
            <v>25399OR</v>
          </cell>
          <cell r="B1095">
            <v>25399</v>
          </cell>
          <cell r="C1095" t="str">
            <v>OR</v>
          </cell>
          <cell r="D1095">
            <v>-1120328.0075000001</v>
          </cell>
          <cell r="F1095" t="str">
            <v>25399OR</v>
          </cell>
          <cell r="G1095">
            <v>25399</v>
          </cell>
          <cell r="H1095" t="str">
            <v>OR</v>
          </cell>
          <cell r="I1095">
            <v>-1120328.0075000001</v>
          </cell>
        </row>
        <row r="1096">
          <cell r="A1096" t="str">
            <v>25399OTHER</v>
          </cell>
          <cell r="B1096">
            <v>25399</v>
          </cell>
          <cell r="C1096" t="str">
            <v>OTHER</v>
          </cell>
          <cell r="D1096">
            <v>0</v>
          </cell>
          <cell r="F1096" t="str">
            <v>25399OTHER</v>
          </cell>
          <cell r="G1096">
            <v>25399</v>
          </cell>
          <cell r="H1096" t="str">
            <v>OTHER</v>
          </cell>
          <cell r="I1096">
            <v>0</v>
          </cell>
        </row>
        <row r="1097">
          <cell r="A1097" t="str">
            <v>25399SG</v>
          </cell>
          <cell r="B1097">
            <v>25399</v>
          </cell>
          <cell r="C1097" t="str">
            <v>SG</v>
          </cell>
          <cell r="D1097">
            <v>-6951854.9400000004</v>
          </cell>
          <cell r="F1097" t="str">
            <v>25399SG</v>
          </cell>
          <cell r="G1097">
            <v>25399</v>
          </cell>
          <cell r="H1097" t="str">
            <v>SG</v>
          </cell>
          <cell r="I1097">
            <v>-6951854.9400000004</v>
          </cell>
        </row>
        <row r="1098">
          <cell r="A1098" t="str">
            <v>25399SO</v>
          </cell>
          <cell r="B1098">
            <v>25399</v>
          </cell>
          <cell r="C1098" t="str">
            <v>SO</v>
          </cell>
          <cell r="D1098">
            <v>-55697937.172499999</v>
          </cell>
          <cell r="F1098" t="str">
            <v>25399SO</v>
          </cell>
          <cell r="G1098">
            <v>25399</v>
          </cell>
          <cell r="H1098" t="str">
            <v>SO</v>
          </cell>
          <cell r="I1098">
            <v>-55697937.172499999</v>
          </cell>
        </row>
        <row r="1099">
          <cell r="A1099" t="str">
            <v>25399UT</v>
          </cell>
          <cell r="B1099">
            <v>25399</v>
          </cell>
          <cell r="C1099" t="str">
            <v>UT</v>
          </cell>
          <cell r="D1099">
            <v>-858113.24833333294</v>
          </cell>
          <cell r="F1099" t="str">
            <v>25399UT</v>
          </cell>
          <cell r="G1099">
            <v>25399</v>
          </cell>
          <cell r="H1099" t="str">
            <v>UT</v>
          </cell>
          <cell r="I1099">
            <v>-858113.24833333294</v>
          </cell>
        </row>
        <row r="1100">
          <cell r="A1100" t="str">
            <v>25399WA</v>
          </cell>
          <cell r="B1100">
            <v>25399</v>
          </cell>
          <cell r="C1100" t="str">
            <v>WA</v>
          </cell>
          <cell r="D1100">
            <v>-303028.54041666701</v>
          </cell>
          <cell r="F1100" t="str">
            <v>25399WA</v>
          </cell>
          <cell r="G1100">
            <v>25399</v>
          </cell>
          <cell r="H1100" t="str">
            <v>WA</v>
          </cell>
          <cell r="I1100">
            <v>-303028.54041666701</v>
          </cell>
        </row>
        <row r="1101">
          <cell r="A1101" t="str">
            <v>25399WYP</v>
          </cell>
          <cell r="B1101">
            <v>25399</v>
          </cell>
          <cell r="C1101" t="str">
            <v>WYP</v>
          </cell>
          <cell r="D1101">
            <v>-145934.20041666701</v>
          </cell>
          <cell r="F1101" t="str">
            <v>25399WYP</v>
          </cell>
          <cell r="G1101">
            <v>25399</v>
          </cell>
          <cell r="H1101" t="str">
            <v>WYP</v>
          </cell>
          <cell r="I1101">
            <v>-145934.20041666701</v>
          </cell>
        </row>
        <row r="1102">
          <cell r="A1102" t="str">
            <v>25399WYU</v>
          </cell>
          <cell r="B1102">
            <v>25399</v>
          </cell>
          <cell r="C1102" t="str">
            <v>WYU</v>
          </cell>
          <cell r="D1102">
            <v>0</v>
          </cell>
          <cell r="F1102" t="str">
            <v>25399WYU</v>
          </cell>
          <cell r="G1102">
            <v>25399</v>
          </cell>
          <cell r="H1102" t="str">
            <v>WYU</v>
          </cell>
          <cell r="I1102">
            <v>0</v>
          </cell>
        </row>
        <row r="1103">
          <cell r="A1103" t="str">
            <v>108360CA</v>
          </cell>
          <cell r="B1103">
            <v>108360</v>
          </cell>
          <cell r="C1103" t="str">
            <v>CA</v>
          </cell>
          <cell r="D1103">
            <v>-739269.43125000002</v>
          </cell>
          <cell r="F1103" t="str">
            <v>108360CA</v>
          </cell>
          <cell r="G1103">
            <v>108360</v>
          </cell>
          <cell r="H1103" t="str">
            <v>CA</v>
          </cell>
          <cell r="I1103">
            <v>-739269.43125000002</v>
          </cell>
        </row>
        <row r="1104">
          <cell r="A1104" t="str">
            <v>108360ID</v>
          </cell>
          <cell r="B1104">
            <v>108360</v>
          </cell>
          <cell r="C1104" t="str">
            <v>ID</v>
          </cell>
          <cell r="D1104">
            <v>-620200.16458333295</v>
          </cell>
          <cell r="F1104" t="str">
            <v>108360ID</v>
          </cell>
          <cell r="G1104">
            <v>108360</v>
          </cell>
          <cell r="H1104" t="str">
            <v>ID</v>
          </cell>
          <cell r="I1104">
            <v>-620200.16458333295</v>
          </cell>
        </row>
        <row r="1105">
          <cell r="A1105" t="str">
            <v>108360OR</v>
          </cell>
          <cell r="B1105">
            <v>108360</v>
          </cell>
          <cell r="C1105" t="str">
            <v>OR</v>
          </cell>
          <cell r="D1105">
            <v>-2969533.1391666699</v>
          </cell>
          <cell r="F1105" t="str">
            <v>108360OR</v>
          </cell>
          <cell r="G1105">
            <v>108360</v>
          </cell>
          <cell r="H1105" t="str">
            <v>OR</v>
          </cell>
          <cell r="I1105">
            <v>-2969533.1391666699</v>
          </cell>
        </row>
        <row r="1106">
          <cell r="A1106" t="str">
            <v>108360UT</v>
          </cell>
          <cell r="B1106">
            <v>108360</v>
          </cell>
          <cell r="C1106" t="str">
            <v>UT</v>
          </cell>
          <cell r="D1106">
            <v>-3196778.3429166698</v>
          </cell>
          <cell r="F1106" t="str">
            <v>108360UT</v>
          </cell>
          <cell r="G1106">
            <v>108360</v>
          </cell>
          <cell r="H1106" t="str">
            <v>UT</v>
          </cell>
          <cell r="I1106">
            <v>-3196778.3429166698</v>
          </cell>
        </row>
        <row r="1107">
          <cell r="A1107" t="str">
            <v>108360WA</v>
          </cell>
          <cell r="B1107">
            <v>108360</v>
          </cell>
          <cell r="C1107" t="str">
            <v>WA</v>
          </cell>
          <cell r="D1107">
            <v>-188825.33041666701</v>
          </cell>
          <cell r="F1107" t="str">
            <v>108360WA</v>
          </cell>
          <cell r="G1107">
            <v>108360</v>
          </cell>
          <cell r="H1107" t="str">
            <v>WA</v>
          </cell>
          <cell r="I1107">
            <v>-188825.33041666701</v>
          </cell>
        </row>
        <row r="1108">
          <cell r="A1108" t="str">
            <v>108360WYP</v>
          </cell>
          <cell r="B1108">
            <v>108360</v>
          </cell>
          <cell r="C1108" t="str">
            <v>WYP</v>
          </cell>
          <cell r="D1108">
            <v>-1329762.2666666701</v>
          </cell>
          <cell r="F1108" t="str">
            <v>108360WYP</v>
          </cell>
          <cell r="G1108">
            <v>108360</v>
          </cell>
          <cell r="H1108" t="str">
            <v>WYP</v>
          </cell>
          <cell r="I1108">
            <v>-1329762.2666666701</v>
          </cell>
        </row>
        <row r="1109">
          <cell r="A1109" t="str">
            <v>108360WYU</v>
          </cell>
          <cell r="B1109">
            <v>108360</v>
          </cell>
          <cell r="C1109" t="str">
            <v>WYU</v>
          </cell>
          <cell r="D1109">
            <v>-1070731.75833333</v>
          </cell>
          <cell r="F1109" t="str">
            <v>108360WYU</v>
          </cell>
          <cell r="G1109">
            <v>108360</v>
          </cell>
          <cell r="H1109" t="str">
            <v>WYU</v>
          </cell>
          <cell r="I1109">
            <v>-1070731.75833333</v>
          </cell>
        </row>
        <row r="1110">
          <cell r="A1110" t="str">
            <v>108361CA</v>
          </cell>
          <cell r="B1110">
            <v>108361</v>
          </cell>
          <cell r="C1110" t="str">
            <v>CA</v>
          </cell>
          <cell r="D1110">
            <v>-1400095.2666666701</v>
          </cell>
          <cell r="F1110" t="str">
            <v>108361CA</v>
          </cell>
          <cell r="G1110">
            <v>108361</v>
          </cell>
          <cell r="H1110" t="str">
            <v>CA</v>
          </cell>
          <cell r="I1110">
            <v>-1400095.2666666701</v>
          </cell>
        </row>
        <row r="1111">
          <cell r="A1111" t="str">
            <v>108361ID</v>
          </cell>
          <cell r="B1111">
            <v>108361</v>
          </cell>
          <cell r="C1111" t="str">
            <v>ID</v>
          </cell>
          <cell r="D1111">
            <v>-718173.21</v>
          </cell>
          <cell r="F1111" t="str">
            <v>108361ID</v>
          </cell>
          <cell r="G1111">
            <v>108361</v>
          </cell>
          <cell r="H1111" t="str">
            <v>ID</v>
          </cell>
          <cell r="I1111">
            <v>-718173.21</v>
          </cell>
        </row>
        <row r="1112">
          <cell r="A1112" t="str">
            <v>108361OR</v>
          </cell>
          <cell r="B1112">
            <v>108361</v>
          </cell>
          <cell r="C1112" t="str">
            <v>OR</v>
          </cell>
          <cell r="D1112">
            <v>-7717860.3795833299</v>
          </cell>
          <cell r="F1112" t="str">
            <v>108361OR</v>
          </cell>
          <cell r="G1112">
            <v>108361</v>
          </cell>
          <cell r="H1112" t="str">
            <v>OR</v>
          </cell>
          <cell r="I1112">
            <v>-7717860.3795833299</v>
          </cell>
        </row>
        <row r="1113">
          <cell r="A1113" t="str">
            <v>108361UT</v>
          </cell>
          <cell r="B1113">
            <v>108361</v>
          </cell>
          <cell r="C1113" t="str">
            <v>UT</v>
          </cell>
          <cell r="D1113">
            <v>-12060828.8654167</v>
          </cell>
          <cell r="F1113" t="str">
            <v>108361UT</v>
          </cell>
          <cell r="G1113">
            <v>108361</v>
          </cell>
          <cell r="H1113" t="str">
            <v>UT</v>
          </cell>
          <cell r="I1113">
            <v>-12060828.8654167</v>
          </cell>
        </row>
        <row r="1114">
          <cell r="A1114" t="str">
            <v>108361WA</v>
          </cell>
          <cell r="B1114">
            <v>108361</v>
          </cell>
          <cell r="C1114" t="str">
            <v>WA</v>
          </cell>
          <cell r="D1114">
            <v>-1171041.39458333</v>
          </cell>
          <cell r="F1114" t="str">
            <v>108361WA</v>
          </cell>
          <cell r="G1114">
            <v>108361</v>
          </cell>
          <cell r="H1114" t="str">
            <v>WA</v>
          </cell>
          <cell r="I1114">
            <v>-1171041.39458333</v>
          </cell>
        </row>
        <row r="1115">
          <cell r="A1115" t="str">
            <v>108361WYP</v>
          </cell>
          <cell r="B1115">
            <v>108361</v>
          </cell>
          <cell r="C1115" t="str">
            <v>WYP</v>
          </cell>
          <cell r="D1115">
            <v>-3737838.5391666698</v>
          </cell>
          <cell r="F1115" t="str">
            <v>108361WYP</v>
          </cell>
          <cell r="G1115">
            <v>108361</v>
          </cell>
          <cell r="H1115" t="str">
            <v>WYP</v>
          </cell>
          <cell r="I1115">
            <v>-3737838.5391666698</v>
          </cell>
        </row>
        <row r="1116">
          <cell r="A1116" t="str">
            <v>108361WYU</v>
          </cell>
          <cell r="B1116">
            <v>108361</v>
          </cell>
          <cell r="C1116" t="str">
            <v>WYU</v>
          </cell>
          <cell r="D1116">
            <v>-632043.06874999998</v>
          </cell>
          <cell r="F1116" t="str">
            <v>108361WYU</v>
          </cell>
          <cell r="G1116">
            <v>108361</v>
          </cell>
          <cell r="H1116" t="str">
            <v>WYU</v>
          </cell>
          <cell r="I1116">
            <v>-632043.06874999998</v>
          </cell>
        </row>
        <row r="1117">
          <cell r="A1117" t="str">
            <v>108362CA</v>
          </cell>
          <cell r="B1117">
            <v>108362</v>
          </cell>
          <cell r="C1117" t="str">
            <v>CA</v>
          </cell>
          <cell r="D1117">
            <v>-8082577.6741666701</v>
          </cell>
          <cell r="F1117" t="str">
            <v>108362CA</v>
          </cell>
          <cell r="G1117">
            <v>108362</v>
          </cell>
          <cell r="H1117" t="str">
            <v>CA</v>
          </cell>
          <cell r="I1117">
            <v>-8082577.6741666701</v>
          </cell>
        </row>
        <row r="1118">
          <cell r="A1118" t="str">
            <v>108362ID</v>
          </cell>
          <cell r="B1118">
            <v>108362</v>
          </cell>
          <cell r="C1118" t="str">
            <v>ID</v>
          </cell>
          <cell r="D1118">
            <v>-12469624.675000001</v>
          </cell>
          <cell r="F1118" t="str">
            <v>108362ID</v>
          </cell>
          <cell r="G1118">
            <v>108362</v>
          </cell>
          <cell r="H1118" t="str">
            <v>ID</v>
          </cell>
          <cell r="I1118">
            <v>-12469624.675000001</v>
          </cell>
        </row>
        <row r="1119">
          <cell r="A1119" t="str">
            <v>108362OR</v>
          </cell>
          <cell r="B1119">
            <v>108362</v>
          </cell>
          <cell r="C1119" t="str">
            <v>OR</v>
          </cell>
          <cell r="D1119">
            <v>-83180991.265416697</v>
          </cell>
          <cell r="F1119" t="str">
            <v>108362OR</v>
          </cell>
          <cell r="G1119">
            <v>108362</v>
          </cell>
          <cell r="H1119" t="str">
            <v>OR</v>
          </cell>
          <cell r="I1119">
            <v>-83180991.265416697</v>
          </cell>
        </row>
        <row r="1120">
          <cell r="A1120" t="str">
            <v>108362UT</v>
          </cell>
          <cell r="B1120">
            <v>108362</v>
          </cell>
          <cell r="C1120" t="str">
            <v>UT</v>
          </cell>
          <cell r="D1120">
            <v>-117692023.90458301</v>
          </cell>
          <cell r="F1120" t="str">
            <v>108362UT</v>
          </cell>
          <cell r="G1120">
            <v>108362</v>
          </cell>
          <cell r="H1120" t="str">
            <v>UT</v>
          </cell>
          <cell r="I1120">
            <v>-117692023.90458301</v>
          </cell>
        </row>
        <row r="1121">
          <cell r="A1121" t="str">
            <v>108362WA</v>
          </cell>
          <cell r="B1121">
            <v>108362</v>
          </cell>
          <cell r="C1121" t="str">
            <v>WA</v>
          </cell>
          <cell r="D1121">
            <v>-22604181.36375</v>
          </cell>
          <cell r="F1121" t="str">
            <v>108362WA</v>
          </cell>
          <cell r="G1121">
            <v>108362</v>
          </cell>
          <cell r="H1121" t="str">
            <v>WA</v>
          </cell>
          <cell r="I1121">
            <v>-22604181.36375</v>
          </cell>
        </row>
        <row r="1122">
          <cell r="A1122" t="str">
            <v>108362WYP</v>
          </cell>
          <cell r="B1122">
            <v>108362</v>
          </cell>
          <cell r="C1122" t="str">
            <v>WYP</v>
          </cell>
          <cell r="D1122">
            <v>-40369514.2616667</v>
          </cell>
          <cell r="F1122" t="str">
            <v>108362WYP</v>
          </cell>
          <cell r="G1122">
            <v>108362</v>
          </cell>
          <cell r="H1122" t="str">
            <v>WYP</v>
          </cell>
          <cell r="I1122">
            <v>-40369514.2616667</v>
          </cell>
        </row>
        <row r="1123">
          <cell r="A1123" t="str">
            <v>108362WYU</v>
          </cell>
          <cell r="B1123">
            <v>108362</v>
          </cell>
          <cell r="C1123" t="str">
            <v>WYU</v>
          </cell>
          <cell r="D1123">
            <v>-3418260.77041667</v>
          </cell>
          <cell r="F1123" t="str">
            <v>108362WYU</v>
          </cell>
          <cell r="G1123">
            <v>108362</v>
          </cell>
          <cell r="H1123" t="str">
            <v>WYU</v>
          </cell>
          <cell r="I1123">
            <v>-3418260.77041667</v>
          </cell>
        </row>
        <row r="1124">
          <cell r="A1124" t="str">
            <v>108364CA</v>
          </cell>
          <cell r="B1124">
            <v>108364</v>
          </cell>
          <cell r="C1124" t="str">
            <v>CA</v>
          </cell>
          <cell r="D1124">
            <v>-39394376.732916698</v>
          </cell>
          <cell r="F1124" t="str">
            <v>108364CA</v>
          </cell>
          <cell r="G1124">
            <v>108364</v>
          </cell>
          <cell r="H1124" t="str">
            <v>CA</v>
          </cell>
          <cell r="I1124">
            <v>-39394376.732916698</v>
          </cell>
        </row>
        <row r="1125">
          <cell r="A1125" t="str">
            <v>108364ID</v>
          </cell>
          <cell r="B1125">
            <v>108364</v>
          </cell>
          <cell r="C1125" t="str">
            <v>ID</v>
          </cell>
          <cell r="D1125">
            <v>-40137522.157916702</v>
          </cell>
          <cell r="F1125" t="str">
            <v>108364ID</v>
          </cell>
          <cell r="G1125">
            <v>108364</v>
          </cell>
          <cell r="H1125" t="str">
            <v>ID</v>
          </cell>
          <cell r="I1125">
            <v>-40137522.157916702</v>
          </cell>
        </row>
        <row r="1126">
          <cell r="A1126" t="str">
            <v>108364OR</v>
          </cell>
          <cell r="B1126">
            <v>108364</v>
          </cell>
          <cell r="C1126" t="str">
            <v>OR</v>
          </cell>
          <cell r="D1126">
            <v>-262885750.23750001</v>
          </cell>
          <cell r="F1126" t="str">
            <v>108364OR</v>
          </cell>
          <cell r="G1126">
            <v>108364</v>
          </cell>
          <cell r="H1126" t="str">
            <v>OR</v>
          </cell>
          <cell r="I1126">
            <v>-262885750.23750001</v>
          </cell>
        </row>
        <row r="1127">
          <cell r="A1127" t="str">
            <v>108364UT</v>
          </cell>
          <cell r="B1127">
            <v>108364</v>
          </cell>
          <cell r="C1127" t="str">
            <v>UT</v>
          </cell>
          <cell r="D1127">
            <v>-156142515.15333301</v>
          </cell>
          <cell r="F1127" t="str">
            <v>108364UT</v>
          </cell>
          <cell r="G1127">
            <v>108364</v>
          </cell>
          <cell r="H1127" t="str">
            <v>UT</v>
          </cell>
          <cell r="I1127">
            <v>-156142515.15333301</v>
          </cell>
        </row>
        <row r="1128">
          <cell r="A1128" t="str">
            <v>108364WA</v>
          </cell>
          <cell r="B1128">
            <v>108364</v>
          </cell>
          <cell r="C1128" t="str">
            <v>WA</v>
          </cell>
          <cell r="D1128">
            <v>-70090349.525000006</v>
          </cell>
          <cell r="F1128" t="str">
            <v>108364WA</v>
          </cell>
          <cell r="G1128">
            <v>108364</v>
          </cell>
          <cell r="H1128" t="str">
            <v>WA</v>
          </cell>
          <cell r="I1128">
            <v>-70090349.525000006</v>
          </cell>
        </row>
        <row r="1129">
          <cell r="A1129" t="str">
            <v>108364WYP</v>
          </cell>
          <cell r="B1129">
            <v>108364</v>
          </cell>
          <cell r="C1129" t="str">
            <v>WYP</v>
          </cell>
          <cell r="D1129">
            <v>-68594578.427499995</v>
          </cell>
          <cell r="F1129" t="str">
            <v>108364WYP</v>
          </cell>
          <cell r="G1129">
            <v>108364</v>
          </cell>
          <cell r="H1129" t="str">
            <v>WYP</v>
          </cell>
          <cell r="I1129">
            <v>-68594578.427499995</v>
          </cell>
        </row>
        <row r="1130">
          <cell r="A1130" t="str">
            <v>108364WYU</v>
          </cell>
          <cell r="B1130">
            <v>108364</v>
          </cell>
          <cell r="C1130" t="str">
            <v>WYU</v>
          </cell>
          <cell r="D1130">
            <v>-15390553.643750001</v>
          </cell>
          <cell r="F1130" t="str">
            <v>108364WYU</v>
          </cell>
          <cell r="G1130">
            <v>108364</v>
          </cell>
          <cell r="H1130" t="str">
            <v>WYU</v>
          </cell>
          <cell r="I1130">
            <v>-15390553.643750001</v>
          </cell>
        </row>
        <row r="1131">
          <cell r="A1131" t="str">
            <v>108365CA</v>
          </cell>
          <cell r="B1131">
            <v>108365</v>
          </cell>
          <cell r="C1131" t="str">
            <v>CA</v>
          </cell>
          <cell r="D1131">
            <v>-19368148.289999999</v>
          </cell>
          <cell r="F1131" t="str">
            <v>108365CA</v>
          </cell>
          <cell r="G1131">
            <v>108365</v>
          </cell>
          <cell r="H1131" t="str">
            <v>CA</v>
          </cell>
          <cell r="I1131">
            <v>-19368148.289999999</v>
          </cell>
        </row>
        <row r="1132">
          <cell r="A1132" t="str">
            <v>108365ID</v>
          </cell>
          <cell r="B1132">
            <v>108365</v>
          </cell>
          <cell r="C1132" t="str">
            <v>ID</v>
          </cell>
          <cell r="D1132">
            <v>-17272294.864999998</v>
          </cell>
          <cell r="F1132" t="str">
            <v>108365ID</v>
          </cell>
          <cell r="G1132">
            <v>108365</v>
          </cell>
          <cell r="H1132" t="str">
            <v>ID</v>
          </cell>
          <cell r="I1132">
            <v>-17272294.864999998</v>
          </cell>
        </row>
        <row r="1133">
          <cell r="A1133" t="str">
            <v>108365OR</v>
          </cell>
          <cell r="B1133">
            <v>108365</v>
          </cell>
          <cell r="C1133" t="str">
            <v>OR</v>
          </cell>
          <cell r="D1133">
            <v>-133274792.86875001</v>
          </cell>
          <cell r="F1133" t="str">
            <v>108365OR</v>
          </cell>
          <cell r="G1133">
            <v>108365</v>
          </cell>
          <cell r="H1133" t="str">
            <v>OR</v>
          </cell>
          <cell r="I1133">
            <v>-133274792.86875001</v>
          </cell>
        </row>
        <row r="1134">
          <cell r="A1134" t="str">
            <v>108365UT</v>
          </cell>
          <cell r="B1134">
            <v>108365</v>
          </cell>
          <cell r="C1134" t="str">
            <v>UT</v>
          </cell>
          <cell r="D1134">
            <v>-86131035.682500005</v>
          </cell>
          <cell r="F1134" t="str">
            <v>108365UT</v>
          </cell>
          <cell r="G1134">
            <v>108365</v>
          </cell>
          <cell r="H1134" t="str">
            <v>UT</v>
          </cell>
          <cell r="I1134">
            <v>-86131035.682500005</v>
          </cell>
        </row>
        <row r="1135">
          <cell r="A1135" t="str">
            <v>108365WA</v>
          </cell>
          <cell r="B1135">
            <v>108365</v>
          </cell>
          <cell r="C1135" t="str">
            <v>WA</v>
          </cell>
          <cell r="D1135">
            <v>-33979292.852916703</v>
          </cell>
          <cell r="F1135" t="str">
            <v>108365WA</v>
          </cell>
          <cell r="G1135">
            <v>108365</v>
          </cell>
          <cell r="H1135" t="str">
            <v>WA</v>
          </cell>
          <cell r="I1135">
            <v>-33979292.852916703</v>
          </cell>
        </row>
        <row r="1136">
          <cell r="A1136" t="str">
            <v>108365WYP</v>
          </cell>
          <cell r="B1136">
            <v>108365</v>
          </cell>
          <cell r="C1136" t="str">
            <v>WYP</v>
          </cell>
          <cell r="D1136">
            <v>-37443045.28125</v>
          </cell>
          <cell r="F1136" t="str">
            <v>108365WYP</v>
          </cell>
          <cell r="G1136">
            <v>108365</v>
          </cell>
          <cell r="H1136" t="str">
            <v>WYP</v>
          </cell>
          <cell r="I1136">
            <v>-37443045.28125</v>
          </cell>
        </row>
        <row r="1137">
          <cell r="A1137" t="str">
            <v>108365WYU</v>
          </cell>
          <cell r="B1137">
            <v>108365</v>
          </cell>
          <cell r="C1137" t="str">
            <v>WYU</v>
          </cell>
          <cell r="D1137">
            <v>-5065209.0362499999</v>
          </cell>
          <cell r="F1137" t="str">
            <v>108365WYU</v>
          </cell>
          <cell r="G1137">
            <v>108365</v>
          </cell>
          <cell r="H1137" t="str">
            <v>WYU</v>
          </cell>
          <cell r="I1137">
            <v>-5065209.0362499999</v>
          </cell>
        </row>
        <row r="1138">
          <cell r="A1138" t="str">
            <v>108366CA</v>
          </cell>
          <cell r="B1138">
            <v>108366</v>
          </cell>
          <cell r="C1138" t="str">
            <v>CA</v>
          </cell>
          <cell r="D1138">
            <v>-12160555.805416699</v>
          </cell>
          <cell r="F1138" t="str">
            <v>108366CA</v>
          </cell>
          <cell r="G1138">
            <v>108366</v>
          </cell>
          <cell r="H1138" t="str">
            <v>CA</v>
          </cell>
          <cell r="I1138">
            <v>-12160555.805416699</v>
          </cell>
        </row>
        <row r="1139">
          <cell r="A1139" t="str">
            <v>108366ID</v>
          </cell>
          <cell r="B1139">
            <v>108366</v>
          </cell>
          <cell r="C1139" t="str">
            <v>ID</v>
          </cell>
          <cell r="D1139">
            <v>-4436443.6104166703</v>
          </cell>
          <cell r="F1139" t="str">
            <v>108366ID</v>
          </cell>
          <cell r="G1139">
            <v>108366</v>
          </cell>
          <cell r="H1139" t="str">
            <v>ID</v>
          </cell>
          <cell r="I1139">
            <v>-4436443.6104166703</v>
          </cell>
        </row>
        <row r="1140">
          <cell r="A1140" t="str">
            <v>108366OR</v>
          </cell>
          <cell r="B1140">
            <v>108366</v>
          </cell>
          <cell r="C1140" t="str">
            <v>OR</v>
          </cell>
          <cell r="D1140">
            <v>-45604244.6208333</v>
          </cell>
          <cell r="F1140" t="str">
            <v>108366OR</v>
          </cell>
          <cell r="G1140">
            <v>108366</v>
          </cell>
          <cell r="H1140" t="str">
            <v>OR</v>
          </cell>
          <cell r="I1140">
            <v>-45604244.6208333</v>
          </cell>
        </row>
        <row r="1141">
          <cell r="A1141" t="str">
            <v>108366UT</v>
          </cell>
          <cell r="B1141">
            <v>108366</v>
          </cell>
          <cell r="C1141" t="str">
            <v>UT</v>
          </cell>
          <cell r="D1141">
            <v>-81964584.458749995</v>
          </cell>
          <cell r="F1141" t="str">
            <v>108366UT</v>
          </cell>
          <cell r="G1141">
            <v>108366</v>
          </cell>
          <cell r="H1141" t="str">
            <v>UT</v>
          </cell>
          <cell r="I1141">
            <v>-81964584.458749995</v>
          </cell>
        </row>
        <row r="1142">
          <cell r="A1142" t="str">
            <v>108366WA</v>
          </cell>
          <cell r="B1142">
            <v>108366</v>
          </cell>
          <cell r="C1142" t="str">
            <v>WA</v>
          </cell>
          <cell r="D1142">
            <v>-11102967.192500001</v>
          </cell>
          <cell r="F1142" t="str">
            <v>108366WA</v>
          </cell>
          <cell r="G1142">
            <v>108366</v>
          </cell>
          <cell r="H1142" t="str">
            <v>WA</v>
          </cell>
          <cell r="I1142">
            <v>-11102967.192500001</v>
          </cell>
        </row>
        <row r="1143">
          <cell r="A1143" t="str">
            <v>108366WYP</v>
          </cell>
          <cell r="B1143">
            <v>108366</v>
          </cell>
          <cell r="C1143" t="str">
            <v>WYP</v>
          </cell>
          <cell r="D1143">
            <v>-10393997.6108333</v>
          </cell>
          <cell r="F1143" t="str">
            <v>108366WYP</v>
          </cell>
          <cell r="G1143">
            <v>108366</v>
          </cell>
          <cell r="H1143" t="str">
            <v>WYP</v>
          </cell>
          <cell r="I1143">
            <v>-10393997.6108333</v>
          </cell>
        </row>
        <row r="1144">
          <cell r="A1144" t="str">
            <v>108366WYU</v>
          </cell>
          <cell r="B1144">
            <v>108366</v>
          </cell>
          <cell r="C1144" t="str">
            <v>WYU</v>
          </cell>
          <cell r="D1144">
            <v>-3067268.4337499999</v>
          </cell>
          <cell r="F1144" t="str">
            <v>108366WYU</v>
          </cell>
          <cell r="G1144">
            <v>108366</v>
          </cell>
          <cell r="H1144" t="str">
            <v>WYU</v>
          </cell>
          <cell r="I1144">
            <v>-3067268.4337499999</v>
          </cell>
        </row>
        <row r="1145">
          <cell r="A1145" t="str">
            <v>108367CA</v>
          </cell>
          <cell r="B1145">
            <v>108367</v>
          </cell>
          <cell r="C1145" t="str">
            <v>CA</v>
          </cell>
          <cell r="D1145">
            <v>-14169664.815416699</v>
          </cell>
          <cell r="F1145" t="str">
            <v>108367CA</v>
          </cell>
          <cell r="G1145">
            <v>108367</v>
          </cell>
          <cell r="H1145" t="str">
            <v>CA</v>
          </cell>
          <cell r="I1145">
            <v>-14169664.815416699</v>
          </cell>
        </row>
        <row r="1146">
          <cell r="A1146" t="str">
            <v>108367ID</v>
          </cell>
          <cell r="B1146">
            <v>108367</v>
          </cell>
          <cell r="C1146" t="str">
            <v>ID</v>
          </cell>
          <cell r="D1146">
            <v>-13978114.7891667</v>
          </cell>
          <cell r="F1146" t="str">
            <v>108367ID</v>
          </cell>
          <cell r="G1146">
            <v>108367</v>
          </cell>
          <cell r="H1146" t="str">
            <v>ID</v>
          </cell>
          <cell r="I1146">
            <v>-13978114.7891667</v>
          </cell>
        </row>
        <row r="1147">
          <cell r="A1147" t="str">
            <v>108367OR</v>
          </cell>
          <cell r="B1147">
            <v>108367</v>
          </cell>
          <cell r="C1147" t="str">
            <v>OR</v>
          </cell>
          <cell r="D1147">
            <v>-87523291.618333295</v>
          </cell>
          <cell r="F1147" t="str">
            <v>108367OR</v>
          </cell>
          <cell r="G1147">
            <v>108367</v>
          </cell>
          <cell r="H1147" t="str">
            <v>OR</v>
          </cell>
          <cell r="I1147">
            <v>-87523291.618333295</v>
          </cell>
        </row>
        <row r="1148">
          <cell r="A1148" t="str">
            <v>108367UT</v>
          </cell>
          <cell r="B1148">
            <v>108367</v>
          </cell>
          <cell r="C1148" t="str">
            <v>UT</v>
          </cell>
          <cell r="D1148">
            <v>-228669678.719583</v>
          </cell>
          <cell r="F1148" t="str">
            <v>108367UT</v>
          </cell>
          <cell r="G1148">
            <v>108367</v>
          </cell>
          <cell r="H1148" t="str">
            <v>UT</v>
          </cell>
          <cell r="I1148">
            <v>-228669678.719583</v>
          </cell>
        </row>
        <row r="1149">
          <cell r="A1149" t="str">
            <v>108367WA</v>
          </cell>
          <cell r="B1149">
            <v>108367</v>
          </cell>
          <cell r="C1149" t="str">
            <v>WA</v>
          </cell>
          <cell r="D1149">
            <v>-13433851.262499999</v>
          </cell>
          <cell r="F1149" t="str">
            <v>108367WA</v>
          </cell>
          <cell r="G1149">
            <v>108367</v>
          </cell>
          <cell r="H1149" t="str">
            <v>WA</v>
          </cell>
          <cell r="I1149">
            <v>-13433851.262499999</v>
          </cell>
        </row>
        <row r="1150">
          <cell r="A1150" t="str">
            <v>108367WYP</v>
          </cell>
          <cell r="B1150">
            <v>108367</v>
          </cell>
          <cell r="C1150" t="str">
            <v>WYP</v>
          </cell>
          <cell r="D1150">
            <v>-25028247.416250002</v>
          </cell>
          <cell r="F1150" t="str">
            <v>108367WYP</v>
          </cell>
          <cell r="G1150">
            <v>108367</v>
          </cell>
          <cell r="H1150" t="str">
            <v>WYP</v>
          </cell>
          <cell r="I1150">
            <v>-25028247.416250002</v>
          </cell>
        </row>
        <row r="1151">
          <cell r="A1151" t="str">
            <v>108367WYU</v>
          </cell>
          <cell r="B1151">
            <v>108367</v>
          </cell>
          <cell r="C1151" t="str">
            <v>WYU</v>
          </cell>
          <cell r="D1151">
            <v>-15146104.96125</v>
          </cell>
          <cell r="F1151" t="str">
            <v>108367WYU</v>
          </cell>
          <cell r="G1151">
            <v>108367</v>
          </cell>
          <cell r="H1151" t="str">
            <v>WYU</v>
          </cell>
          <cell r="I1151">
            <v>-15146104.96125</v>
          </cell>
        </row>
        <row r="1152">
          <cell r="A1152" t="str">
            <v>108368CA</v>
          </cell>
          <cell r="B1152">
            <v>108368</v>
          </cell>
          <cell r="C1152" t="str">
            <v>CA</v>
          </cell>
          <cell r="D1152">
            <v>-31029676.389583301</v>
          </cell>
          <cell r="F1152" t="str">
            <v>108368CA</v>
          </cell>
          <cell r="G1152">
            <v>108368</v>
          </cell>
          <cell r="H1152" t="str">
            <v>CA</v>
          </cell>
          <cell r="I1152">
            <v>-31029676.389583301</v>
          </cell>
        </row>
        <row r="1153">
          <cell r="A1153" t="str">
            <v>108368ID</v>
          </cell>
          <cell r="B1153">
            <v>108368</v>
          </cell>
          <cell r="C1153" t="str">
            <v>ID</v>
          </cell>
          <cell r="D1153">
            <v>-28945138.1558333</v>
          </cell>
          <cell r="F1153" t="str">
            <v>108368ID</v>
          </cell>
          <cell r="G1153">
            <v>108368</v>
          </cell>
          <cell r="H1153" t="str">
            <v>ID</v>
          </cell>
          <cell r="I1153">
            <v>-28945138.1558333</v>
          </cell>
        </row>
        <row r="1154">
          <cell r="A1154" t="str">
            <v>108368OR</v>
          </cell>
          <cell r="B1154">
            <v>108368</v>
          </cell>
          <cell r="C1154" t="str">
            <v>OR</v>
          </cell>
          <cell r="D1154">
            <v>-236364624.07499999</v>
          </cell>
          <cell r="F1154" t="str">
            <v>108368OR</v>
          </cell>
          <cell r="G1154">
            <v>108368</v>
          </cell>
          <cell r="H1154" t="str">
            <v>OR</v>
          </cell>
          <cell r="I1154">
            <v>-236364624.07499999</v>
          </cell>
        </row>
        <row r="1155">
          <cell r="A1155" t="str">
            <v>108368UT</v>
          </cell>
          <cell r="B1155">
            <v>108368</v>
          </cell>
          <cell r="C1155" t="str">
            <v>UT</v>
          </cell>
          <cell r="D1155">
            <v>-132420698.242083</v>
          </cell>
          <cell r="F1155" t="str">
            <v>108368UT</v>
          </cell>
          <cell r="G1155">
            <v>108368</v>
          </cell>
          <cell r="H1155" t="str">
            <v>UT</v>
          </cell>
          <cell r="I1155">
            <v>-132420698.242083</v>
          </cell>
        </row>
        <row r="1156">
          <cell r="A1156" t="str">
            <v>108368WA</v>
          </cell>
          <cell r="B1156">
            <v>108368</v>
          </cell>
          <cell r="C1156" t="str">
            <v>WA</v>
          </cell>
          <cell r="D1156">
            <v>-60324696.126249999</v>
          </cell>
          <cell r="F1156" t="str">
            <v>108368WA</v>
          </cell>
          <cell r="G1156">
            <v>108368</v>
          </cell>
          <cell r="H1156" t="str">
            <v>WA</v>
          </cell>
          <cell r="I1156">
            <v>-60324696.126249999</v>
          </cell>
        </row>
        <row r="1157">
          <cell r="A1157" t="str">
            <v>108368WYP</v>
          </cell>
          <cell r="B1157">
            <v>108368</v>
          </cell>
          <cell r="C1157" t="str">
            <v>WYP</v>
          </cell>
          <cell r="D1157">
            <v>-42709430.891249999</v>
          </cell>
          <cell r="F1157" t="str">
            <v>108368WYP</v>
          </cell>
          <cell r="G1157">
            <v>108368</v>
          </cell>
          <cell r="H1157" t="str">
            <v>WYP</v>
          </cell>
          <cell r="I1157">
            <v>-42709430.891249999</v>
          </cell>
        </row>
        <row r="1158">
          <cell r="A1158" t="str">
            <v>108368WYU</v>
          </cell>
          <cell r="B1158">
            <v>108368</v>
          </cell>
          <cell r="C1158" t="str">
            <v>WYU</v>
          </cell>
          <cell r="D1158">
            <v>-6814796.3445833297</v>
          </cell>
          <cell r="F1158" t="str">
            <v>108368WYU</v>
          </cell>
          <cell r="G1158">
            <v>108368</v>
          </cell>
          <cell r="H1158" t="str">
            <v>WYU</v>
          </cell>
          <cell r="I1158">
            <v>-6814796.3445833297</v>
          </cell>
        </row>
        <row r="1159">
          <cell r="A1159" t="str">
            <v>108369CA</v>
          </cell>
          <cell r="B1159">
            <v>108369</v>
          </cell>
          <cell r="C1159" t="str">
            <v>CA</v>
          </cell>
          <cell r="D1159">
            <v>-9392009.1841666698</v>
          </cell>
          <cell r="F1159" t="str">
            <v>108369CA</v>
          </cell>
          <cell r="G1159">
            <v>108369</v>
          </cell>
          <cell r="H1159" t="str">
            <v>CA</v>
          </cell>
          <cell r="I1159">
            <v>-9392009.1841666698</v>
          </cell>
        </row>
        <row r="1160">
          <cell r="A1160" t="str">
            <v>108369ID</v>
          </cell>
          <cell r="B1160">
            <v>108369</v>
          </cell>
          <cell r="C1160" t="str">
            <v>ID</v>
          </cell>
          <cell r="D1160">
            <v>-17998483.712916698</v>
          </cell>
          <cell r="F1160" t="str">
            <v>108369ID</v>
          </cell>
          <cell r="G1160">
            <v>108369</v>
          </cell>
          <cell r="H1160" t="str">
            <v>ID</v>
          </cell>
          <cell r="I1160">
            <v>-17998483.712916698</v>
          </cell>
        </row>
        <row r="1161">
          <cell r="A1161" t="str">
            <v>108369OR</v>
          </cell>
          <cell r="B1161">
            <v>108369</v>
          </cell>
          <cell r="C1161" t="str">
            <v>OR</v>
          </cell>
          <cell r="D1161">
            <v>-129099473.49583299</v>
          </cell>
          <cell r="F1161" t="str">
            <v>108369OR</v>
          </cell>
          <cell r="G1161">
            <v>108369</v>
          </cell>
          <cell r="H1161" t="str">
            <v>OR</v>
          </cell>
          <cell r="I1161">
            <v>-129099473.49583299</v>
          </cell>
        </row>
        <row r="1162">
          <cell r="A1162" t="str">
            <v>108369UT</v>
          </cell>
          <cell r="B1162">
            <v>108369</v>
          </cell>
          <cell r="C1162" t="str">
            <v>UT</v>
          </cell>
          <cell r="D1162">
            <v>-108347580.22041699</v>
          </cell>
          <cell r="F1162" t="str">
            <v>108369UT</v>
          </cell>
          <cell r="G1162">
            <v>108369</v>
          </cell>
          <cell r="H1162" t="str">
            <v>UT</v>
          </cell>
          <cell r="I1162">
            <v>-108347580.22041699</v>
          </cell>
        </row>
        <row r="1163">
          <cell r="A1163" t="str">
            <v>108369WA</v>
          </cell>
          <cell r="B1163">
            <v>108369</v>
          </cell>
          <cell r="C1163" t="str">
            <v>WA</v>
          </cell>
          <cell r="D1163">
            <v>-28748083.664999999</v>
          </cell>
          <cell r="F1163" t="str">
            <v>108369WA</v>
          </cell>
          <cell r="G1163">
            <v>108369</v>
          </cell>
          <cell r="H1163" t="str">
            <v>WA</v>
          </cell>
          <cell r="I1163">
            <v>-28748083.664999999</v>
          </cell>
        </row>
        <row r="1164">
          <cell r="A1164" t="str">
            <v>108369WYP</v>
          </cell>
          <cell r="B1164">
            <v>108369</v>
          </cell>
          <cell r="C1164" t="str">
            <v>WYP</v>
          </cell>
          <cell r="D1164">
            <v>-20819634.010416701</v>
          </cell>
          <cell r="F1164" t="str">
            <v>108369WYP</v>
          </cell>
          <cell r="G1164">
            <v>108369</v>
          </cell>
          <cell r="H1164" t="str">
            <v>WYP</v>
          </cell>
          <cell r="I1164">
            <v>-20819634.010416701</v>
          </cell>
        </row>
        <row r="1165">
          <cell r="A1165" t="str">
            <v>108369WYU</v>
          </cell>
          <cell r="B1165">
            <v>108369</v>
          </cell>
          <cell r="C1165" t="str">
            <v>WYU</v>
          </cell>
          <cell r="D1165">
            <v>-4940791.7958333297</v>
          </cell>
          <cell r="F1165" t="str">
            <v>108369WYU</v>
          </cell>
          <cell r="G1165">
            <v>108369</v>
          </cell>
          <cell r="H1165" t="str">
            <v>WYU</v>
          </cell>
          <cell r="I1165">
            <v>-4940791.7958333297</v>
          </cell>
        </row>
        <row r="1166">
          <cell r="A1166" t="str">
            <v>108370CA</v>
          </cell>
          <cell r="B1166">
            <v>108370</v>
          </cell>
          <cell r="C1166" t="str">
            <v>CA</v>
          </cell>
          <cell r="D1166">
            <v>-813001.97458333301</v>
          </cell>
          <cell r="F1166" t="str">
            <v>108370CA</v>
          </cell>
          <cell r="G1166">
            <v>108370</v>
          </cell>
          <cell r="H1166" t="str">
            <v>CA</v>
          </cell>
          <cell r="I1166">
            <v>-813001.97458333301</v>
          </cell>
        </row>
        <row r="1167">
          <cell r="A1167" t="str">
            <v>108370ID</v>
          </cell>
          <cell r="B1167">
            <v>108370</v>
          </cell>
          <cell r="C1167" t="str">
            <v>ID</v>
          </cell>
          <cell r="D1167">
            <v>-10282342.6666667</v>
          </cell>
          <cell r="F1167" t="str">
            <v>108370ID</v>
          </cell>
          <cell r="G1167">
            <v>108370</v>
          </cell>
          <cell r="H1167" t="str">
            <v>ID</v>
          </cell>
          <cell r="I1167">
            <v>-10282342.6666667</v>
          </cell>
        </row>
        <row r="1168">
          <cell r="A1168" t="str">
            <v>108370OR</v>
          </cell>
          <cell r="B1168">
            <v>108370</v>
          </cell>
          <cell r="C1168" t="str">
            <v>OR</v>
          </cell>
          <cell r="D1168">
            <v>-18296630.908333302</v>
          </cell>
          <cell r="F1168" t="str">
            <v>108370OR</v>
          </cell>
          <cell r="G1168">
            <v>108370</v>
          </cell>
          <cell r="H1168" t="str">
            <v>OR</v>
          </cell>
          <cell r="I1168">
            <v>-18296630.908333302</v>
          </cell>
        </row>
        <row r="1169">
          <cell r="A1169" t="str">
            <v>108370UT</v>
          </cell>
          <cell r="B1169">
            <v>108370</v>
          </cell>
          <cell r="C1169" t="str">
            <v>UT</v>
          </cell>
          <cell r="D1169">
            <v>-44027394.235416703</v>
          </cell>
          <cell r="F1169" t="str">
            <v>108370UT</v>
          </cell>
          <cell r="G1169">
            <v>108370</v>
          </cell>
          <cell r="H1169" t="str">
            <v>UT</v>
          </cell>
          <cell r="I1169">
            <v>-44027394.235416703</v>
          </cell>
        </row>
        <row r="1170">
          <cell r="A1170" t="str">
            <v>108370WA</v>
          </cell>
          <cell r="B1170">
            <v>108370</v>
          </cell>
          <cell r="C1170" t="str">
            <v>WA</v>
          </cell>
          <cell r="D1170">
            <v>-5191159.1912500001</v>
          </cell>
          <cell r="F1170" t="str">
            <v>108370WA</v>
          </cell>
          <cell r="G1170">
            <v>108370</v>
          </cell>
          <cell r="H1170" t="str">
            <v>WA</v>
          </cell>
          <cell r="I1170">
            <v>-5191159.1912500001</v>
          </cell>
        </row>
        <row r="1171">
          <cell r="A1171" t="str">
            <v>108370WYP</v>
          </cell>
          <cell r="B1171">
            <v>108370</v>
          </cell>
          <cell r="C1171" t="str">
            <v>WYP</v>
          </cell>
          <cell r="D1171">
            <v>-5066260.3291666703</v>
          </cell>
          <cell r="F1171" t="str">
            <v>108370WYP</v>
          </cell>
          <cell r="G1171">
            <v>108370</v>
          </cell>
          <cell r="H1171" t="str">
            <v>WYP</v>
          </cell>
          <cell r="I1171">
            <v>-5066260.3291666703</v>
          </cell>
        </row>
        <row r="1172">
          <cell r="A1172" t="str">
            <v>108370WYU</v>
          </cell>
          <cell r="B1172">
            <v>108370</v>
          </cell>
          <cell r="C1172" t="str">
            <v>WYU</v>
          </cell>
          <cell r="D1172">
            <v>-1226582.48958333</v>
          </cell>
          <cell r="F1172" t="str">
            <v>108370WYU</v>
          </cell>
          <cell r="G1172">
            <v>108370</v>
          </cell>
          <cell r="H1172" t="str">
            <v>WYU</v>
          </cell>
          <cell r="I1172">
            <v>-1226582.48958333</v>
          </cell>
        </row>
        <row r="1173">
          <cell r="A1173" t="str">
            <v>108371CA</v>
          </cell>
          <cell r="B1173">
            <v>108371</v>
          </cell>
          <cell r="C1173" t="str">
            <v>CA</v>
          </cell>
          <cell r="D1173">
            <v>-212428.85833333299</v>
          </cell>
          <cell r="F1173" t="str">
            <v>108371CA</v>
          </cell>
          <cell r="G1173">
            <v>108371</v>
          </cell>
          <cell r="H1173" t="str">
            <v>CA</v>
          </cell>
          <cell r="I1173">
            <v>-212428.85833333299</v>
          </cell>
        </row>
        <row r="1174">
          <cell r="A1174" t="str">
            <v>108371ID</v>
          </cell>
          <cell r="B1174">
            <v>108371</v>
          </cell>
          <cell r="C1174" t="str">
            <v>ID</v>
          </cell>
          <cell r="D1174">
            <v>-142239.31458333301</v>
          </cell>
          <cell r="F1174" t="str">
            <v>108371ID</v>
          </cell>
          <cell r="G1174">
            <v>108371</v>
          </cell>
          <cell r="H1174" t="str">
            <v>ID</v>
          </cell>
          <cell r="I1174">
            <v>-142239.31458333301</v>
          </cell>
        </row>
        <row r="1175">
          <cell r="A1175" t="str">
            <v>108371OR</v>
          </cell>
          <cell r="B1175">
            <v>108371</v>
          </cell>
          <cell r="C1175" t="str">
            <v>OR</v>
          </cell>
          <cell r="D1175">
            <v>-2131808.66791667</v>
          </cell>
          <cell r="F1175" t="str">
            <v>108371OR</v>
          </cell>
          <cell r="G1175">
            <v>108371</v>
          </cell>
          <cell r="H1175" t="str">
            <v>OR</v>
          </cell>
          <cell r="I1175">
            <v>-2131808.66791667</v>
          </cell>
        </row>
        <row r="1176">
          <cell r="A1176" t="str">
            <v>108371UT</v>
          </cell>
          <cell r="B1176">
            <v>108371</v>
          </cell>
          <cell r="C1176" t="str">
            <v>UT</v>
          </cell>
          <cell r="D1176">
            <v>-3381442.4216666701</v>
          </cell>
          <cell r="F1176" t="str">
            <v>108371UT</v>
          </cell>
          <cell r="G1176">
            <v>108371</v>
          </cell>
          <cell r="H1176" t="str">
            <v>UT</v>
          </cell>
          <cell r="I1176">
            <v>-3381442.4216666701</v>
          </cell>
        </row>
        <row r="1177">
          <cell r="A1177" t="str">
            <v>108371WA</v>
          </cell>
          <cell r="B1177">
            <v>108371</v>
          </cell>
          <cell r="C1177" t="str">
            <v>WA</v>
          </cell>
          <cell r="D1177">
            <v>-363576.64541666699</v>
          </cell>
          <cell r="F1177" t="str">
            <v>108371WA</v>
          </cell>
          <cell r="G1177">
            <v>108371</v>
          </cell>
          <cell r="H1177" t="str">
            <v>WA</v>
          </cell>
          <cell r="I1177">
            <v>-363576.64541666699</v>
          </cell>
        </row>
        <row r="1178">
          <cell r="A1178" t="str">
            <v>108371WYP</v>
          </cell>
          <cell r="B1178">
            <v>108371</v>
          </cell>
          <cell r="C1178" t="str">
            <v>WYP</v>
          </cell>
          <cell r="D1178">
            <v>-889926.14041666698</v>
          </cell>
          <cell r="F1178" t="str">
            <v>108371WYP</v>
          </cell>
          <cell r="G1178">
            <v>108371</v>
          </cell>
          <cell r="H1178" t="str">
            <v>WYP</v>
          </cell>
          <cell r="I1178">
            <v>-889926.14041666698</v>
          </cell>
        </row>
        <row r="1179">
          <cell r="A1179" t="str">
            <v>108371WYU</v>
          </cell>
          <cell r="B1179">
            <v>108371</v>
          </cell>
          <cell r="C1179" t="str">
            <v>WYU</v>
          </cell>
          <cell r="D1179">
            <v>-148478.593333333</v>
          </cell>
          <cell r="F1179" t="str">
            <v>108371WYU</v>
          </cell>
          <cell r="G1179">
            <v>108371</v>
          </cell>
          <cell r="H1179" t="str">
            <v>WYU</v>
          </cell>
          <cell r="I1179">
            <v>-148478.593333333</v>
          </cell>
        </row>
        <row r="1180">
          <cell r="A1180" t="str">
            <v>108373CA</v>
          </cell>
          <cell r="B1180">
            <v>108373</v>
          </cell>
          <cell r="C1180" t="str">
            <v>CA</v>
          </cell>
          <cell r="D1180">
            <v>-598655.18541666702</v>
          </cell>
          <cell r="F1180" t="str">
            <v>108373CA</v>
          </cell>
          <cell r="G1180">
            <v>108373</v>
          </cell>
          <cell r="H1180" t="str">
            <v>CA</v>
          </cell>
          <cell r="I1180">
            <v>-598655.18541666702</v>
          </cell>
        </row>
        <row r="1181">
          <cell r="A1181" t="str">
            <v>108373ID</v>
          </cell>
          <cell r="B1181">
            <v>108373</v>
          </cell>
          <cell r="C1181" t="str">
            <v>ID</v>
          </cell>
          <cell r="D1181">
            <v>-457712.31291666703</v>
          </cell>
          <cell r="F1181" t="str">
            <v>108373ID</v>
          </cell>
          <cell r="G1181">
            <v>108373</v>
          </cell>
          <cell r="H1181" t="str">
            <v>ID</v>
          </cell>
          <cell r="I1181">
            <v>-457712.31291666703</v>
          </cell>
        </row>
        <row r="1182">
          <cell r="A1182" t="str">
            <v>108373OR</v>
          </cell>
          <cell r="B1182">
            <v>108373</v>
          </cell>
          <cell r="C1182" t="str">
            <v>OR</v>
          </cell>
          <cell r="D1182">
            <v>-11168230.268750001</v>
          </cell>
          <cell r="F1182" t="str">
            <v>108373OR</v>
          </cell>
          <cell r="G1182">
            <v>108373</v>
          </cell>
          <cell r="H1182" t="str">
            <v>OR</v>
          </cell>
          <cell r="I1182">
            <v>-11168230.268750001</v>
          </cell>
        </row>
        <row r="1183">
          <cell r="A1183" t="str">
            <v>108373UT</v>
          </cell>
          <cell r="B1183">
            <v>108373</v>
          </cell>
          <cell r="C1183" t="str">
            <v>UT</v>
          </cell>
          <cell r="D1183">
            <v>-12538896.987083299</v>
          </cell>
          <cell r="F1183" t="str">
            <v>108373UT</v>
          </cell>
          <cell r="G1183">
            <v>108373</v>
          </cell>
          <cell r="H1183" t="str">
            <v>UT</v>
          </cell>
          <cell r="I1183">
            <v>-12538896.987083299</v>
          </cell>
        </row>
        <row r="1184">
          <cell r="A1184" t="str">
            <v>108373WA</v>
          </cell>
          <cell r="B1184">
            <v>108373</v>
          </cell>
          <cell r="C1184" t="str">
            <v>WA</v>
          </cell>
          <cell r="D1184">
            <v>-2184290.3416666701</v>
          </cell>
          <cell r="F1184" t="str">
            <v>108373WA</v>
          </cell>
          <cell r="G1184">
            <v>108373</v>
          </cell>
          <cell r="H1184" t="str">
            <v>WA</v>
          </cell>
          <cell r="I1184">
            <v>-2184290.3416666701</v>
          </cell>
        </row>
        <row r="1185">
          <cell r="A1185" t="str">
            <v>108373WYP</v>
          </cell>
          <cell r="B1185">
            <v>108373</v>
          </cell>
          <cell r="C1185" t="str">
            <v>WYP</v>
          </cell>
          <cell r="D1185">
            <v>-3547400.0816666698</v>
          </cell>
          <cell r="F1185" t="str">
            <v>108373WYP</v>
          </cell>
          <cell r="G1185">
            <v>108373</v>
          </cell>
          <cell r="H1185" t="str">
            <v>WYP</v>
          </cell>
          <cell r="I1185">
            <v>-3547400.0816666698</v>
          </cell>
        </row>
        <row r="1186">
          <cell r="A1186" t="str">
            <v>108373WYU</v>
          </cell>
          <cell r="B1186">
            <v>108373</v>
          </cell>
          <cell r="C1186" t="str">
            <v>WYU</v>
          </cell>
          <cell r="D1186">
            <v>-1147095.8291666701</v>
          </cell>
          <cell r="F1186" t="str">
            <v>108373WYU</v>
          </cell>
          <cell r="G1186">
            <v>108373</v>
          </cell>
          <cell r="H1186" t="str">
            <v>WYU</v>
          </cell>
          <cell r="I1186">
            <v>-1147095.8291666701</v>
          </cell>
        </row>
        <row r="1187">
          <cell r="A1187" t="str">
            <v>111390OR</v>
          </cell>
          <cell r="B1187">
            <v>111390</v>
          </cell>
          <cell r="C1187" t="str">
            <v>OR</v>
          </cell>
          <cell r="D1187">
            <v>0</v>
          </cell>
          <cell r="F1187" t="str">
            <v>111390OR</v>
          </cell>
          <cell r="G1187">
            <v>111390</v>
          </cell>
          <cell r="H1187" t="str">
            <v>OR</v>
          </cell>
          <cell r="I1187">
            <v>0</v>
          </cell>
        </row>
        <row r="1188">
          <cell r="A1188" t="str">
            <v>111390SG</v>
          </cell>
          <cell r="B1188">
            <v>111390</v>
          </cell>
          <cell r="C1188" t="str">
            <v>SG</v>
          </cell>
          <cell r="D1188">
            <v>0</v>
          </cell>
          <cell r="F1188" t="str">
            <v>111390SG</v>
          </cell>
          <cell r="G1188">
            <v>111390</v>
          </cell>
          <cell r="H1188" t="str">
            <v>SG</v>
          </cell>
          <cell r="I1188">
            <v>0</v>
          </cell>
        </row>
        <row r="1189">
          <cell r="A1189" t="str">
            <v>111390SO</v>
          </cell>
          <cell r="B1189">
            <v>111390</v>
          </cell>
          <cell r="C1189" t="str">
            <v>SO</v>
          </cell>
          <cell r="D1189">
            <v>0</v>
          </cell>
          <cell r="F1189" t="str">
            <v>111390SO</v>
          </cell>
          <cell r="G1189">
            <v>111390</v>
          </cell>
          <cell r="H1189" t="str">
            <v>SO</v>
          </cell>
          <cell r="I1189">
            <v>0</v>
          </cell>
        </row>
        <row r="1190">
          <cell r="A1190" t="str">
            <v>111390WYP</v>
          </cell>
          <cell r="B1190">
            <v>111390</v>
          </cell>
          <cell r="C1190" t="str">
            <v>WYP</v>
          </cell>
          <cell r="D1190">
            <v>0</v>
          </cell>
          <cell r="F1190" t="str">
            <v>111390WYP</v>
          </cell>
          <cell r="G1190">
            <v>111390</v>
          </cell>
          <cell r="H1190" t="str">
            <v>WYP</v>
          </cell>
          <cell r="I1190">
            <v>0</v>
          </cell>
        </row>
        <row r="1191">
          <cell r="A1191" t="str">
            <v>254105TROJP</v>
          </cell>
          <cell r="B1191">
            <v>254105</v>
          </cell>
          <cell r="C1191" t="str">
            <v>TROJP</v>
          </cell>
          <cell r="D1191">
            <v>0</v>
          </cell>
          <cell r="F1191" t="str">
            <v>254105TROJP</v>
          </cell>
          <cell r="G1191">
            <v>254105</v>
          </cell>
          <cell r="H1191" t="str">
            <v>TROJP</v>
          </cell>
          <cell r="I1191">
            <v>0</v>
          </cell>
        </row>
        <row r="1192">
          <cell r="A1192" t="str">
            <v>1011390CAGE</v>
          </cell>
          <cell r="B1192">
            <v>1011390</v>
          </cell>
          <cell r="C1192" t="str">
            <v>CAGE</v>
          </cell>
          <cell r="D1192">
            <v>7844631.4050000003</v>
          </cell>
          <cell r="F1192" t="str">
            <v>1011390CAGE</v>
          </cell>
          <cell r="G1192">
            <v>1011390</v>
          </cell>
          <cell r="H1192" t="str">
            <v>CAGE</v>
          </cell>
          <cell r="I1192">
            <v>7844631.4050000003</v>
          </cell>
        </row>
        <row r="1193">
          <cell r="A1193" t="str">
            <v>1011390CAGW</v>
          </cell>
          <cell r="B1193">
            <v>1011390</v>
          </cell>
          <cell r="C1193" t="str">
            <v>CAGW</v>
          </cell>
          <cell r="D1193">
            <v>3255145.52208333</v>
          </cell>
          <cell r="F1193" t="str">
            <v>1011390CAGW</v>
          </cell>
          <cell r="G1193">
            <v>1011390</v>
          </cell>
          <cell r="H1193" t="str">
            <v>CAGW</v>
          </cell>
          <cell r="I1193">
            <v>3255145.52208333</v>
          </cell>
        </row>
        <row r="1194">
          <cell r="A1194" t="str">
            <v>1011390OR</v>
          </cell>
          <cell r="B1194">
            <v>1011390</v>
          </cell>
          <cell r="C1194" t="str">
            <v>OR</v>
          </cell>
          <cell r="D1194">
            <v>1369164.7554166701</v>
          </cell>
          <cell r="F1194" t="str">
            <v>1011390OR</v>
          </cell>
          <cell r="G1194">
            <v>1011390</v>
          </cell>
          <cell r="H1194" t="str">
            <v>OR</v>
          </cell>
          <cell r="I1194">
            <v>1369164.7554166701</v>
          </cell>
        </row>
        <row r="1195">
          <cell r="A1195" t="str">
            <v>1011390SO</v>
          </cell>
          <cell r="B1195">
            <v>1011390</v>
          </cell>
          <cell r="C1195" t="str">
            <v>SO</v>
          </cell>
          <cell r="D1195">
            <v>2156216.7712500002</v>
          </cell>
          <cell r="F1195" t="str">
            <v>1011390SO</v>
          </cell>
          <cell r="G1195">
            <v>1011390</v>
          </cell>
          <cell r="H1195" t="str">
            <v>SO</v>
          </cell>
          <cell r="I1195">
            <v>2156216.7712500002</v>
          </cell>
        </row>
        <row r="1196">
          <cell r="A1196" t="str">
            <v>1011390UT</v>
          </cell>
          <cell r="B1196">
            <v>1011390</v>
          </cell>
          <cell r="C1196" t="str">
            <v>UT</v>
          </cell>
          <cell r="D1196">
            <v>3292376.0366666699</v>
          </cell>
          <cell r="F1196" t="str">
            <v>1011390UT</v>
          </cell>
          <cell r="G1196">
            <v>1011390</v>
          </cell>
          <cell r="H1196" t="str">
            <v>UT</v>
          </cell>
          <cell r="I1196">
            <v>3292376.0366666699</v>
          </cell>
        </row>
        <row r="1197">
          <cell r="A1197" t="str">
            <v>1011390WYP</v>
          </cell>
          <cell r="B1197">
            <v>1011390</v>
          </cell>
          <cell r="C1197" t="str">
            <v>WYP</v>
          </cell>
          <cell r="D1197">
            <v>0</v>
          </cell>
          <cell r="F1197" t="str">
            <v>1011390WYP</v>
          </cell>
          <cell r="G1197">
            <v>1011390</v>
          </cell>
          <cell r="H1197" t="str">
            <v>WYP</v>
          </cell>
          <cell r="I1197">
            <v>0</v>
          </cell>
        </row>
        <row r="1198">
          <cell r="A1198" t="str">
            <v>108DPCA</v>
          </cell>
          <cell r="B1198" t="str">
            <v>108DP</v>
          </cell>
          <cell r="C1198" t="str">
            <v>CA</v>
          </cell>
          <cell r="D1198">
            <v>274877.01250000001</v>
          </cell>
          <cell r="F1198" t="str">
            <v>108DPCA</v>
          </cell>
          <cell r="G1198" t="str">
            <v>108DP</v>
          </cell>
          <cell r="H1198" t="str">
            <v>CA</v>
          </cell>
          <cell r="I1198">
            <v>274877.01250000001</v>
          </cell>
        </row>
        <row r="1199">
          <cell r="A1199" t="str">
            <v>108DPID</v>
          </cell>
          <cell r="B1199" t="str">
            <v>108DP</v>
          </cell>
          <cell r="C1199" t="str">
            <v>ID</v>
          </cell>
          <cell r="D1199">
            <v>330098.72583333298</v>
          </cell>
          <cell r="F1199" t="str">
            <v>108DPID</v>
          </cell>
          <cell r="G1199" t="str">
            <v>108DP</v>
          </cell>
          <cell r="H1199" t="str">
            <v>ID</v>
          </cell>
          <cell r="I1199">
            <v>330098.72583333298</v>
          </cell>
        </row>
        <row r="1200">
          <cell r="A1200" t="str">
            <v>108DPOR</v>
          </cell>
          <cell r="B1200" t="str">
            <v>108DP</v>
          </cell>
          <cell r="C1200" t="str">
            <v>OR</v>
          </cell>
          <cell r="D1200">
            <v>1019213.0958333299</v>
          </cell>
          <cell r="F1200" t="str">
            <v>108DPOR</v>
          </cell>
          <cell r="G1200" t="str">
            <v>108DP</v>
          </cell>
          <cell r="H1200" t="str">
            <v>OR</v>
          </cell>
          <cell r="I1200">
            <v>1019213.0958333299</v>
          </cell>
        </row>
        <row r="1201">
          <cell r="A1201" t="str">
            <v>108DPUT</v>
          </cell>
          <cell r="B1201" t="str">
            <v>108DP</v>
          </cell>
          <cell r="C1201" t="str">
            <v>UT</v>
          </cell>
          <cell r="D1201">
            <v>3397107.4558333298</v>
          </cell>
          <cell r="F1201" t="str">
            <v>108DPUT</v>
          </cell>
          <cell r="G1201" t="str">
            <v>108DP</v>
          </cell>
          <cell r="H1201" t="str">
            <v>UT</v>
          </cell>
          <cell r="I1201">
            <v>3397107.4558333298</v>
          </cell>
        </row>
        <row r="1202">
          <cell r="A1202" t="str">
            <v>108DPWA</v>
          </cell>
          <cell r="B1202" t="str">
            <v>108DP</v>
          </cell>
          <cell r="C1202" t="str">
            <v>WA</v>
          </cell>
          <cell r="D1202">
            <v>399118.74666666699</v>
          </cell>
          <cell r="F1202" t="str">
            <v>108DPWA</v>
          </cell>
          <cell r="G1202" t="str">
            <v>108DP</v>
          </cell>
          <cell r="H1202" t="str">
            <v>WA</v>
          </cell>
          <cell r="I1202">
            <v>399118.74666666699</v>
          </cell>
        </row>
        <row r="1203">
          <cell r="A1203" t="str">
            <v>108DPWYP</v>
          </cell>
          <cell r="B1203" t="str">
            <v>108DP</v>
          </cell>
          <cell r="C1203" t="str">
            <v>WYP</v>
          </cell>
          <cell r="D1203">
            <v>158169.95666666701</v>
          </cell>
          <cell r="F1203" t="str">
            <v>108DPWYP</v>
          </cell>
          <cell r="G1203" t="str">
            <v>108DP</v>
          </cell>
          <cell r="H1203" t="str">
            <v>WYP</v>
          </cell>
          <cell r="I1203">
            <v>158169.95666666701</v>
          </cell>
        </row>
        <row r="1204">
          <cell r="A1204" t="str">
            <v>108DPWYU</v>
          </cell>
          <cell r="B1204" t="str">
            <v>108DP</v>
          </cell>
          <cell r="C1204" t="str">
            <v>WYU</v>
          </cell>
          <cell r="D1204">
            <v>392557.625</v>
          </cell>
          <cell r="F1204" t="str">
            <v>108DPWYU</v>
          </cell>
          <cell r="G1204" t="str">
            <v>108DP</v>
          </cell>
          <cell r="H1204" t="str">
            <v>WYU</v>
          </cell>
          <cell r="I1204">
            <v>392557.625</v>
          </cell>
        </row>
        <row r="1205">
          <cell r="A1205" t="str">
            <v>108GPCA</v>
          </cell>
          <cell r="B1205" t="str">
            <v>108GP</v>
          </cell>
          <cell r="C1205" t="str">
            <v>CA</v>
          </cell>
          <cell r="D1205">
            <v>-7328433.6220833296</v>
          </cell>
          <cell r="F1205" t="str">
            <v>108GPCA</v>
          </cell>
          <cell r="G1205" t="str">
            <v>108GP</v>
          </cell>
          <cell r="H1205" t="str">
            <v>CA</v>
          </cell>
          <cell r="I1205">
            <v>-7328433.6220833296</v>
          </cell>
        </row>
        <row r="1206">
          <cell r="A1206" t="str">
            <v>108GPCAEE</v>
          </cell>
          <cell r="B1206" t="str">
            <v>108GP</v>
          </cell>
          <cell r="C1206" t="str">
            <v>CAEE</v>
          </cell>
          <cell r="D1206">
            <v>-1611089.4541666701</v>
          </cell>
          <cell r="F1206" t="str">
            <v>108GPCAEE</v>
          </cell>
          <cell r="G1206" t="str">
            <v>108GP</v>
          </cell>
          <cell r="H1206" t="str">
            <v>CAEE</v>
          </cell>
          <cell r="I1206">
            <v>-1611089.4541666701</v>
          </cell>
        </row>
        <row r="1207">
          <cell r="A1207" t="str">
            <v>108GPCAGE</v>
          </cell>
          <cell r="B1207" t="str">
            <v>108GP</v>
          </cell>
          <cell r="C1207" t="str">
            <v>CAGE</v>
          </cell>
          <cell r="D1207">
            <v>-78029207.081666693</v>
          </cell>
          <cell r="F1207" t="str">
            <v>108GPCAGE</v>
          </cell>
          <cell r="G1207" t="str">
            <v>108GP</v>
          </cell>
          <cell r="H1207" t="str">
            <v>CAGE</v>
          </cell>
          <cell r="I1207">
            <v>-78029207.081666693</v>
          </cell>
        </row>
        <row r="1208">
          <cell r="A1208" t="str">
            <v>108GPCAGW</v>
          </cell>
          <cell r="B1208" t="str">
            <v>108GP</v>
          </cell>
          <cell r="C1208" t="str">
            <v>CAGW</v>
          </cell>
          <cell r="D1208">
            <v>-30818110.5233333</v>
          </cell>
          <cell r="F1208" t="str">
            <v>108GPCAGW</v>
          </cell>
          <cell r="G1208" t="str">
            <v>108GP</v>
          </cell>
          <cell r="H1208" t="str">
            <v>CAGW</v>
          </cell>
          <cell r="I1208">
            <v>-30818110.5233333</v>
          </cell>
        </row>
        <row r="1209">
          <cell r="A1209" t="str">
            <v>108GPCN</v>
          </cell>
          <cell r="B1209" t="str">
            <v>108GP</v>
          </cell>
          <cell r="C1209" t="str">
            <v>CN</v>
          </cell>
          <cell r="D1209">
            <v>-6465184.4737499999</v>
          </cell>
          <cell r="F1209" t="str">
            <v>108GPCN</v>
          </cell>
          <cell r="G1209" t="str">
            <v>108GP</v>
          </cell>
          <cell r="H1209" t="str">
            <v>CN</v>
          </cell>
          <cell r="I1209">
            <v>-6465184.4737499999</v>
          </cell>
        </row>
        <row r="1210">
          <cell r="A1210" t="str">
            <v>108GPID</v>
          </cell>
          <cell r="B1210" t="str">
            <v>108GP</v>
          </cell>
          <cell r="C1210" t="str">
            <v>ID</v>
          </cell>
          <cell r="D1210">
            <v>-16632895.6445833</v>
          </cell>
          <cell r="F1210" t="str">
            <v>108GPID</v>
          </cell>
          <cell r="G1210" t="str">
            <v>108GP</v>
          </cell>
          <cell r="H1210" t="str">
            <v>ID</v>
          </cell>
          <cell r="I1210">
            <v>-16632895.6445833</v>
          </cell>
        </row>
        <row r="1211">
          <cell r="A1211" t="str">
            <v>108GPJBG</v>
          </cell>
          <cell r="B1211" t="str">
            <v>108GP</v>
          </cell>
          <cell r="C1211" t="str">
            <v>JBG</v>
          </cell>
          <cell r="D1211">
            <v>-6621868.3475000001</v>
          </cell>
          <cell r="F1211" t="str">
            <v>108GPJBG</v>
          </cell>
          <cell r="G1211" t="str">
            <v>108GP</v>
          </cell>
          <cell r="H1211" t="str">
            <v>JBG</v>
          </cell>
          <cell r="I1211">
            <v>-6621868.3475000001</v>
          </cell>
        </row>
        <row r="1212">
          <cell r="A1212" t="str">
            <v>108GPOR</v>
          </cell>
          <cell r="B1212" t="str">
            <v>108GP</v>
          </cell>
          <cell r="C1212" t="str">
            <v>OR</v>
          </cell>
          <cell r="D1212">
            <v>-82128053.929166704</v>
          </cell>
          <cell r="F1212" t="str">
            <v>108GPOR</v>
          </cell>
          <cell r="G1212" t="str">
            <v>108GP</v>
          </cell>
          <cell r="H1212" t="str">
            <v>OR</v>
          </cell>
          <cell r="I1212">
            <v>-82128053.929166704</v>
          </cell>
        </row>
        <row r="1213">
          <cell r="A1213" t="str">
            <v>108GPSG</v>
          </cell>
          <cell r="B1213" t="str">
            <v>108GP</v>
          </cell>
          <cell r="C1213" t="str">
            <v>SG</v>
          </cell>
          <cell r="D1213">
            <v>33673.96</v>
          </cell>
          <cell r="F1213" t="str">
            <v>108GPSG</v>
          </cell>
          <cell r="G1213" t="str">
            <v>108GP</v>
          </cell>
          <cell r="H1213" t="str">
            <v>SG</v>
          </cell>
          <cell r="I1213">
            <v>33673.96</v>
          </cell>
        </row>
        <row r="1214">
          <cell r="A1214" t="str">
            <v>108GPSO</v>
          </cell>
          <cell r="B1214" t="str">
            <v>108GP</v>
          </cell>
          <cell r="C1214" t="str">
            <v>SO</v>
          </cell>
          <cell r="D1214">
            <v>-110774382.87791701</v>
          </cell>
          <cell r="F1214" t="str">
            <v>108GPSO</v>
          </cell>
          <cell r="G1214" t="str">
            <v>108GP</v>
          </cell>
          <cell r="H1214" t="str">
            <v>SO</v>
          </cell>
          <cell r="I1214">
            <v>-110774382.87791701</v>
          </cell>
        </row>
        <row r="1215">
          <cell r="A1215" t="str">
            <v>108GPUT</v>
          </cell>
          <cell r="B1215" t="str">
            <v>108GP</v>
          </cell>
          <cell r="C1215" t="str">
            <v>UT</v>
          </cell>
          <cell r="D1215">
            <v>-83499324.929166704</v>
          </cell>
          <cell r="F1215" t="str">
            <v>108GPUT</v>
          </cell>
          <cell r="G1215" t="str">
            <v>108GP</v>
          </cell>
          <cell r="H1215" t="str">
            <v>UT</v>
          </cell>
          <cell r="I1215">
            <v>-83499324.929166704</v>
          </cell>
        </row>
        <row r="1216">
          <cell r="A1216" t="str">
            <v>108GPWA</v>
          </cell>
          <cell r="B1216" t="str">
            <v>108GP</v>
          </cell>
          <cell r="C1216" t="str">
            <v>WA</v>
          </cell>
          <cell r="D1216">
            <v>-23889924.704999998</v>
          </cell>
          <cell r="F1216" t="str">
            <v>108GPWA</v>
          </cell>
          <cell r="G1216" t="str">
            <v>108GP</v>
          </cell>
          <cell r="H1216" t="str">
            <v>WA</v>
          </cell>
          <cell r="I1216">
            <v>-23889924.704999998</v>
          </cell>
        </row>
        <row r="1217">
          <cell r="A1217" t="str">
            <v>108GPWYP</v>
          </cell>
          <cell r="B1217" t="str">
            <v>108GP</v>
          </cell>
          <cell r="C1217" t="str">
            <v>WYP</v>
          </cell>
          <cell r="D1217">
            <v>-23310428.82</v>
          </cell>
          <cell r="F1217" t="str">
            <v>108GPWYP</v>
          </cell>
          <cell r="G1217" t="str">
            <v>108GP</v>
          </cell>
          <cell r="H1217" t="str">
            <v>WYP</v>
          </cell>
          <cell r="I1217">
            <v>-23310428.82</v>
          </cell>
        </row>
        <row r="1218">
          <cell r="A1218" t="str">
            <v>108GPWYU</v>
          </cell>
          <cell r="B1218" t="str">
            <v>108GP</v>
          </cell>
          <cell r="C1218" t="str">
            <v>WYU</v>
          </cell>
          <cell r="D1218">
            <v>-5677836.53083333</v>
          </cell>
          <cell r="F1218" t="str">
            <v>108GPWYU</v>
          </cell>
          <cell r="G1218" t="str">
            <v>108GP</v>
          </cell>
          <cell r="H1218" t="str">
            <v>WYU</v>
          </cell>
          <cell r="I1218">
            <v>-5677836.53083333</v>
          </cell>
        </row>
        <row r="1219">
          <cell r="A1219" t="str">
            <v>108HPCAGE</v>
          </cell>
          <cell r="B1219" t="str">
            <v>108HP</v>
          </cell>
          <cell r="C1219" t="str">
            <v>CAGE</v>
          </cell>
          <cell r="D1219">
            <v>-84244031.630833298</v>
          </cell>
          <cell r="F1219" t="str">
            <v>108HPCAGE</v>
          </cell>
          <cell r="G1219" t="str">
            <v>108HP</v>
          </cell>
          <cell r="H1219" t="str">
            <v>CAGE</v>
          </cell>
          <cell r="I1219">
            <v>-84244031.630833298</v>
          </cell>
        </row>
        <row r="1220">
          <cell r="A1220" t="str">
            <v>108HPCAGW</v>
          </cell>
          <cell r="B1220" t="str">
            <v>108HP</v>
          </cell>
          <cell r="C1220" t="str">
            <v>CAGW</v>
          </cell>
          <cell r="D1220">
            <v>-346418423.70666701</v>
          </cell>
          <cell r="F1220" t="str">
            <v>108HPCAGW</v>
          </cell>
          <cell r="G1220" t="str">
            <v>108HP</v>
          </cell>
          <cell r="H1220" t="str">
            <v>CAGW</v>
          </cell>
          <cell r="I1220">
            <v>-346418423.70666701</v>
          </cell>
        </row>
        <row r="1221">
          <cell r="A1221" t="str">
            <v>108HPOTHER</v>
          </cell>
          <cell r="B1221" t="str">
            <v>108HP</v>
          </cell>
          <cell r="C1221" t="str">
            <v>OTHER</v>
          </cell>
          <cell r="D1221">
            <v>3073536.0362499999</v>
          </cell>
          <cell r="F1221" t="str">
            <v>108HPOTHER</v>
          </cell>
          <cell r="G1221" t="str">
            <v>108HP</v>
          </cell>
          <cell r="H1221" t="str">
            <v>OTHER</v>
          </cell>
          <cell r="I1221">
            <v>3073536.0362499999</v>
          </cell>
        </row>
        <row r="1222">
          <cell r="A1222" t="str">
            <v>108MPCAEE</v>
          </cell>
          <cell r="B1222" t="str">
            <v>108MP</v>
          </cell>
          <cell r="C1222" t="str">
            <v>CAEE</v>
          </cell>
          <cell r="D1222">
            <v>0</v>
          </cell>
          <cell r="F1222" t="str">
            <v>108MPCAEE</v>
          </cell>
          <cell r="G1222" t="str">
            <v>108MP</v>
          </cell>
          <cell r="H1222" t="str">
            <v>CAEE</v>
          </cell>
          <cell r="I1222">
            <v>0</v>
          </cell>
        </row>
        <row r="1223">
          <cell r="A1223" t="str">
            <v>108OPCAGE</v>
          </cell>
          <cell r="B1223" t="str">
            <v>108OP</v>
          </cell>
          <cell r="C1223" t="str">
            <v>CAGE</v>
          </cell>
          <cell r="D1223">
            <v>-669765790.36416698</v>
          </cell>
          <cell r="F1223" t="str">
            <v>108OPCAGE</v>
          </cell>
          <cell r="G1223" t="str">
            <v>108OP</v>
          </cell>
          <cell r="H1223" t="str">
            <v>CAGE</v>
          </cell>
          <cell r="I1223">
            <v>-669765790.36416698</v>
          </cell>
        </row>
        <row r="1224">
          <cell r="A1224" t="str">
            <v>108OPCAGW</v>
          </cell>
          <cell r="B1224" t="str">
            <v>108OP</v>
          </cell>
          <cell r="C1224" t="str">
            <v>CAGW</v>
          </cell>
          <cell r="D1224">
            <v>-475615059.84125</v>
          </cell>
          <cell r="F1224" t="str">
            <v>108OPCAGW</v>
          </cell>
          <cell r="G1224" t="str">
            <v>108OP</v>
          </cell>
          <cell r="H1224" t="str">
            <v>CAGW</v>
          </cell>
          <cell r="I1224">
            <v>-475615059.84125</v>
          </cell>
        </row>
        <row r="1225">
          <cell r="A1225" t="str">
            <v>108SPCAEE</v>
          </cell>
          <cell r="B1225" t="str">
            <v>108SP</v>
          </cell>
          <cell r="C1225" t="str">
            <v>CAEE</v>
          </cell>
          <cell r="D1225">
            <v>0</v>
          </cell>
          <cell r="F1225" t="str">
            <v>108SPCAEE</v>
          </cell>
          <cell r="G1225" t="str">
            <v>108SP</v>
          </cell>
          <cell r="H1225" t="str">
            <v>CAEE</v>
          </cell>
          <cell r="I1225">
            <v>0</v>
          </cell>
        </row>
        <row r="1226">
          <cell r="A1226" t="str">
            <v>108SPCAGE</v>
          </cell>
          <cell r="B1226" t="str">
            <v>108SP</v>
          </cell>
          <cell r="C1226" t="str">
            <v>CAGE</v>
          </cell>
          <cell r="D1226">
            <v>-2470411979.9816699</v>
          </cell>
          <cell r="F1226" t="str">
            <v>108SPCAGE</v>
          </cell>
          <cell r="G1226" t="str">
            <v>108SP</v>
          </cell>
          <cell r="H1226" t="str">
            <v>CAGE</v>
          </cell>
          <cell r="I1226">
            <v>-2470411979.9816699</v>
          </cell>
        </row>
        <row r="1227">
          <cell r="A1227" t="str">
            <v>108SPCAGW</v>
          </cell>
          <cell r="B1227" t="str">
            <v>108SP</v>
          </cell>
          <cell r="C1227" t="str">
            <v>CAGW</v>
          </cell>
          <cell r="D1227">
            <v>-127154502.74708299</v>
          </cell>
          <cell r="F1227" t="str">
            <v>108SPCAGW</v>
          </cell>
          <cell r="G1227" t="str">
            <v>108SP</v>
          </cell>
          <cell r="H1227" t="str">
            <v>CAGW</v>
          </cell>
          <cell r="I1227">
            <v>-127154502.74708299</v>
          </cell>
        </row>
        <row r="1228">
          <cell r="A1228" t="str">
            <v>108SPID</v>
          </cell>
          <cell r="B1228" t="str">
            <v>108SP</v>
          </cell>
          <cell r="C1228" t="str">
            <v>ID</v>
          </cell>
          <cell r="D1228">
            <v>1243368.98</v>
          </cell>
          <cell r="F1228" t="str">
            <v>108SPID</v>
          </cell>
          <cell r="G1228" t="str">
            <v>108SP</v>
          </cell>
          <cell r="H1228" t="str">
            <v>ID</v>
          </cell>
          <cell r="I1228">
            <v>1243368.98</v>
          </cell>
        </row>
        <row r="1229">
          <cell r="A1229" t="str">
            <v>108SPJBG</v>
          </cell>
          <cell r="B1229" t="str">
            <v>108SP</v>
          </cell>
          <cell r="C1229" t="str">
            <v>JBG</v>
          </cell>
          <cell r="D1229">
            <v>-586871177.365417</v>
          </cell>
          <cell r="F1229" t="str">
            <v>108SPJBG</v>
          </cell>
          <cell r="G1229" t="str">
            <v>108SP</v>
          </cell>
          <cell r="H1229" t="str">
            <v>JBG</v>
          </cell>
          <cell r="I1229">
            <v>-586871177.365417</v>
          </cell>
        </row>
        <row r="1230">
          <cell r="A1230" t="str">
            <v>108SPUT</v>
          </cell>
          <cell r="B1230" t="str">
            <v>108SP</v>
          </cell>
          <cell r="C1230" t="str">
            <v>UT</v>
          </cell>
          <cell r="D1230">
            <v>8994203.7949999999</v>
          </cell>
          <cell r="F1230" t="str">
            <v>108SPUT</v>
          </cell>
          <cell r="G1230" t="str">
            <v>108SP</v>
          </cell>
          <cell r="H1230" t="str">
            <v>UT</v>
          </cell>
          <cell r="I1230">
            <v>8994203.7949999999</v>
          </cell>
        </row>
        <row r="1231">
          <cell r="A1231" t="str">
            <v>108SPWYP</v>
          </cell>
          <cell r="B1231" t="str">
            <v>108SP</v>
          </cell>
          <cell r="C1231" t="str">
            <v>WYP</v>
          </cell>
          <cell r="D1231">
            <v>1059362.0625</v>
          </cell>
          <cell r="F1231" t="str">
            <v>108SPWYP</v>
          </cell>
          <cell r="G1231" t="str">
            <v>108SP</v>
          </cell>
          <cell r="H1231" t="str">
            <v>WYP</v>
          </cell>
          <cell r="I1231">
            <v>1059362.0625</v>
          </cell>
        </row>
        <row r="1232">
          <cell r="A1232" t="str">
            <v>108TPCAGE</v>
          </cell>
          <cell r="B1232" t="str">
            <v>108TP</v>
          </cell>
          <cell r="C1232" t="str">
            <v>CAGE</v>
          </cell>
          <cell r="D1232">
            <v>-1176481288.3791699</v>
          </cell>
          <cell r="F1232" t="str">
            <v>108TPCAGE</v>
          </cell>
          <cell r="G1232" t="str">
            <v>108TP</v>
          </cell>
          <cell r="H1232" t="str">
            <v>CAGE</v>
          </cell>
          <cell r="I1232">
            <v>-1176481288.3791699</v>
          </cell>
        </row>
        <row r="1233">
          <cell r="A1233" t="str">
            <v>108TPCAGW</v>
          </cell>
          <cell r="B1233" t="str">
            <v>108TP</v>
          </cell>
          <cell r="C1233" t="str">
            <v>CAGW</v>
          </cell>
          <cell r="D1233">
            <v>-532522772.84291703</v>
          </cell>
          <cell r="F1233" t="str">
            <v>108TPCAGW</v>
          </cell>
          <cell r="G1233" t="str">
            <v>108TP</v>
          </cell>
          <cell r="H1233" t="str">
            <v>CAGW</v>
          </cell>
          <cell r="I1233">
            <v>-532522772.84291703</v>
          </cell>
        </row>
        <row r="1234">
          <cell r="A1234" t="str">
            <v>108TPJBG</v>
          </cell>
          <cell r="B1234" t="str">
            <v>108TP</v>
          </cell>
          <cell r="C1234" t="str">
            <v>JBG</v>
          </cell>
          <cell r="D1234">
            <v>-42748324.891249999</v>
          </cell>
          <cell r="F1234" t="str">
            <v>108TPJBG</v>
          </cell>
          <cell r="G1234" t="str">
            <v>108TP</v>
          </cell>
          <cell r="H1234" t="str">
            <v>JBG</v>
          </cell>
          <cell r="I1234">
            <v>-42748324.891249999</v>
          </cell>
        </row>
        <row r="1235">
          <cell r="A1235" t="str">
            <v>108TPSG</v>
          </cell>
          <cell r="B1235" t="str">
            <v>108TP</v>
          </cell>
          <cell r="C1235" t="str">
            <v>SG</v>
          </cell>
          <cell r="D1235">
            <v>8533992.1441666707</v>
          </cell>
          <cell r="F1235" t="str">
            <v>108TPSG</v>
          </cell>
          <cell r="G1235" t="str">
            <v>108TP</v>
          </cell>
          <cell r="H1235" t="str">
            <v>SG</v>
          </cell>
          <cell r="I1235">
            <v>8533992.1441666707</v>
          </cell>
        </row>
        <row r="1236">
          <cell r="A1236" t="str">
            <v>111GPCA</v>
          </cell>
          <cell r="B1236" t="str">
            <v>111GP</v>
          </cell>
          <cell r="C1236" t="str">
            <v>CA</v>
          </cell>
          <cell r="D1236">
            <v>-629424.28458333295</v>
          </cell>
          <cell r="F1236" t="str">
            <v>111GPCA</v>
          </cell>
          <cell r="G1236" t="str">
            <v>111GP</v>
          </cell>
          <cell r="H1236" t="str">
            <v>CA</v>
          </cell>
          <cell r="I1236">
            <v>-629424.28458333295</v>
          </cell>
        </row>
        <row r="1237">
          <cell r="A1237" t="str">
            <v>111GPID</v>
          </cell>
          <cell r="B1237" t="str">
            <v>111GP</v>
          </cell>
          <cell r="C1237" t="str">
            <v>ID</v>
          </cell>
          <cell r="D1237">
            <v>-333770.7</v>
          </cell>
          <cell r="F1237" t="str">
            <v>111GPID</v>
          </cell>
          <cell r="G1237" t="str">
            <v>111GP</v>
          </cell>
          <cell r="H1237" t="str">
            <v>ID</v>
          </cell>
          <cell r="I1237">
            <v>-333770.7</v>
          </cell>
        </row>
        <row r="1238">
          <cell r="A1238" t="str">
            <v>111GPOR</v>
          </cell>
          <cell r="B1238" t="str">
            <v>111GP</v>
          </cell>
          <cell r="C1238" t="str">
            <v>OR</v>
          </cell>
          <cell r="D1238">
            <v>-4743501.7379166698</v>
          </cell>
          <cell r="F1238" t="str">
            <v>111GPOR</v>
          </cell>
          <cell r="G1238" t="str">
            <v>111GP</v>
          </cell>
          <cell r="H1238" t="str">
            <v>OR</v>
          </cell>
          <cell r="I1238">
            <v>-4743501.7379166698</v>
          </cell>
        </row>
        <row r="1239">
          <cell r="A1239" t="str">
            <v>111GPSO</v>
          </cell>
          <cell r="B1239" t="str">
            <v>111GP</v>
          </cell>
          <cell r="C1239" t="str">
            <v>SO</v>
          </cell>
          <cell r="D1239">
            <v>-3328502.72708333</v>
          </cell>
          <cell r="F1239" t="str">
            <v>111GPSO</v>
          </cell>
          <cell r="G1239" t="str">
            <v>111GP</v>
          </cell>
          <cell r="H1239" t="str">
            <v>SO</v>
          </cell>
          <cell r="I1239">
            <v>-3328502.72708333</v>
          </cell>
        </row>
        <row r="1240">
          <cell r="A1240" t="str">
            <v>111GPUT</v>
          </cell>
          <cell r="B1240" t="str">
            <v>111GP</v>
          </cell>
          <cell r="C1240" t="str">
            <v>UT</v>
          </cell>
          <cell r="D1240">
            <v>-17579.6033333333</v>
          </cell>
          <cell r="F1240" t="str">
            <v>111GPUT</v>
          </cell>
          <cell r="G1240" t="str">
            <v>111GP</v>
          </cell>
          <cell r="H1240" t="str">
            <v>UT</v>
          </cell>
          <cell r="I1240">
            <v>-17579.6033333333</v>
          </cell>
        </row>
        <row r="1241">
          <cell r="A1241" t="str">
            <v>111GPWA</v>
          </cell>
          <cell r="B1241" t="str">
            <v>111GP</v>
          </cell>
          <cell r="C1241" t="str">
            <v>WA</v>
          </cell>
          <cell r="D1241">
            <v>-1650129.18625</v>
          </cell>
          <cell r="F1241" t="str">
            <v>111GPWA</v>
          </cell>
          <cell r="G1241" t="str">
            <v>111GP</v>
          </cell>
          <cell r="H1241" t="str">
            <v>WA</v>
          </cell>
          <cell r="I1241">
            <v>-1650129.18625</v>
          </cell>
        </row>
        <row r="1242">
          <cell r="A1242" t="str">
            <v>111GPWYP</v>
          </cell>
          <cell r="B1242" t="str">
            <v>111GP</v>
          </cell>
          <cell r="C1242" t="str">
            <v>WYP</v>
          </cell>
          <cell r="D1242">
            <v>-4556283.5345833302</v>
          </cell>
          <cell r="F1242" t="str">
            <v>111GPWYP</v>
          </cell>
          <cell r="G1242" t="str">
            <v>111GP</v>
          </cell>
          <cell r="H1242" t="str">
            <v>WYP</v>
          </cell>
          <cell r="I1242">
            <v>-4556283.5345833302</v>
          </cell>
        </row>
        <row r="1243">
          <cell r="A1243" t="str">
            <v>111HPCAGW</v>
          </cell>
          <cell r="B1243" t="str">
            <v>111HP</v>
          </cell>
          <cell r="C1243" t="str">
            <v>CAGW</v>
          </cell>
          <cell r="D1243">
            <v>-2360437.1279166699</v>
          </cell>
          <cell r="F1243" t="str">
            <v>111HPCAGW</v>
          </cell>
          <cell r="G1243" t="str">
            <v>111HP</v>
          </cell>
          <cell r="H1243" t="str">
            <v>CAGW</v>
          </cell>
          <cell r="I1243">
            <v>-2360437.1279166699</v>
          </cell>
        </row>
        <row r="1244">
          <cell r="A1244" t="str">
            <v>111IPCA</v>
          </cell>
          <cell r="B1244" t="str">
            <v>111IP</v>
          </cell>
          <cell r="C1244" t="str">
            <v>CA</v>
          </cell>
          <cell r="D1244">
            <v>-1789.3745833333301</v>
          </cell>
          <cell r="F1244" t="str">
            <v>111IPCA</v>
          </cell>
          <cell r="G1244" t="str">
            <v>111IP</v>
          </cell>
          <cell r="H1244" t="str">
            <v>CA</v>
          </cell>
          <cell r="I1244">
            <v>-1789.3745833333301</v>
          </cell>
        </row>
        <row r="1245">
          <cell r="A1245" t="str">
            <v>111IPCAEE</v>
          </cell>
          <cell r="B1245" t="str">
            <v>111IP</v>
          </cell>
          <cell r="C1245" t="str">
            <v>CAEE</v>
          </cell>
          <cell r="D1245">
            <v>-6449.0616666666701</v>
          </cell>
          <cell r="F1245" t="str">
            <v>111IPCAEE</v>
          </cell>
          <cell r="G1245" t="str">
            <v>111IP</v>
          </cell>
          <cell r="H1245" t="str">
            <v>CAEE</v>
          </cell>
          <cell r="I1245">
            <v>-6449.0616666666701</v>
          </cell>
        </row>
        <row r="1246">
          <cell r="A1246" t="str">
            <v>111IPCAGE</v>
          </cell>
          <cell r="B1246" t="str">
            <v>111IP</v>
          </cell>
          <cell r="C1246" t="str">
            <v>CAGE</v>
          </cell>
          <cell r="D1246">
            <v>-35968922.944583297</v>
          </cell>
          <cell r="F1246" t="str">
            <v>111IPCAGE</v>
          </cell>
          <cell r="G1246" t="str">
            <v>111IP</v>
          </cell>
          <cell r="H1246" t="str">
            <v>CAGE</v>
          </cell>
          <cell r="I1246">
            <v>-35968922.944583297</v>
          </cell>
        </row>
        <row r="1247">
          <cell r="A1247" t="str">
            <v>111IPCAGW</v>
          </cell>
          <cell r="B1247" t="str">
            <v>111IP</v>
          </cell>
          <cell r="C1247" t="str">
            <v>CAGW</v>
          </cell>
          <cell r="D1247">
            <v>-134273861.34625</v>
          </cell>
          <cell r="F1247" t="str">
            <v>111IPCAGW</v>
          </cell>
          <cell r="G1247" t="str">
            <v>111IP</v>
          </cell>
          <cell r="H1247" t="str">
            <v>CAGW</v>
          </cell>
          <cell r="I1247">
            <v>-134273861.34625</v>
          </cell>
        </row>
        <row r="1248">
          <cell r="A1248" t="str">
            <v>111IPCN</v>
          </cell>
          <cell r="B1248" t="str">
            <v>111IP</v>
          </cell>
          <cell r="C1248" t="str">
            <v>CN</v>
          </cell>
          <cell r="D1248">
            <v>-131913029.686667</v>
          </cell>
          <cell r="F1248" t="str">
            <v>111IPCN</v>
          </cell>
          <cell r="G1248" t="str">
            <v>111IP</v>
          </cell>
          <cell r="H1248" t="str">
            <v>CN</v>
          </cell>
          <cell r="I1248">
            <v>-131913029.686667</v>
          </cell>
        </row>
        <row r="1249">
          <cell r="A1249" t="str">
            <v>111IPID</v>
          </cell>
          <cell r="B1249" t="str">
            <v>111IP</v>
          </cell>
          <cell r="C1249" t="str">
            <v>ID</v>
          </cell>
          <cell r="D1249">
            <v>-919335.13291666703</v>
          </cell>
          <cell r="F1249" t="str">
            <v>111IPID</v>
          </cell>
          <cell r="G1249" t="str">
            <v>111IP</v>
          </cell>
          <cell r="H1249" t="str">
            <v>ID</v>
          </cell>
          <cell r="I1249">
            <v>-919335.13291666703</v>
          </cell>
        </row>
        <row r="1250">
          <cell r="A1250" t="str">
            <v>111IPJBG</v>
          </cell>
          <cell r="B1250" t="str">
            <v>111IP</v>
          </cell>
          <cell r="C1250" t="str">
            <v>JBG</v>
          </cell>
          <cell r="D1250">
            <v>-1203083.07125</v>
          </cell>
          <cell r="F1250" t="str">
            <v>111IPJBG</v>
          </cell>
          <cell r="G1250" t="str">
            <v>111IP</v>
          </cell>
          <cell r="H1250" t="str">
            <v>JBG</v>
          </cell>
          <cell r="I1250">
            <v>-1203083.07125</v>
          </cell>
        </row>
        <row r="1251">
          <cell r="A1251" t="str">
            <v>111IPOR</v>
          </cell>
          <cell r="B1251" t="str">
            <v>111IP</v>
          </cell>
          <cell r="C1251" t="str">
            <v>OR</v>
          </cell>
          <cell r="D1251">
            <v>-100494.67125</v>
          </cell>
          <cell r="F1251" t="str">
            <v>111IPOR</v>
          </cell>
          <cell r="G1251" t="str">
            <v>111IP</v>
          </cell>
          <cell r="H1251" t="str">
            <v>OR</v>
          </cell>
          <cell r="I1251">
            <v>-100494.67125</v>
          </cell>
        </row>
        <row r="1252">
          <cell r="A1252" t="str">
            <v>111IPSG</v>
          </cell>
          <cell r="B1252" t="str">
            <v>111IP</v>
          </cell>
          <cell r="C1252" t="str">
            <v>SG</v>
          </cell>
          <cell r="D1252">
            <v>-19422041.574583299</v>
          </cell>
          <cell r="F1252" t="str">
            <v>111IPSG</v>
          </cell>
          <cell r="G1252" t="str">
            <v>111IP</v>
          </cell>
          <cell r="H1252" t="str">
            <v>SG</v>
          </cell>
          <cell r="I1252">
            <v>-19422041.574583299</v>
          </cell>
        </row>
        <row r="1253">
          <cell r="A1253" t="str">
            <v>111IPSO</v>
          </cell>
          <cell r="B1253" t="str">
            <v>111IP</v>
          </cell>
          <cell r="C1253" t="str">
            <v>SO</v>
          </cell>
          <cell r="D1253">
            <v>-287528188.64625001</v>
          </cell>
          <cell r="F1253" t="str">
            <v>111IPSO</v>
          </cell>
          <cell r="G1253" t="str">
            <v>111IP</v>
          </cell>
          <cell r="H1253" t="str">
            <v>SO</v>
          </cell>
          <cell r="I1253">
            <v>-287528188.64625001</v>
          </cell>
        </row>
        <row r="1254">
          <cell r="A1254" t="str">
            <v>111IPUT</v>
          </cell>
          <cell r="B1254" t="str">
            <v>111IP</v>
          </cell>
          <cell r="C1254" t="str">
            <v>UT</v>
          </cell>
          <cell r="D1254">
            <v>28612488.682083301</v>
          </cell>
          <cell r="F1254" t="str">
            <v>111IPUT</v>
          </cell>
          <cell r="G1254" t="str">
            <v>111IP</v>
          </cell>
          <cell r="H1254" t="str">
            <v>UT</v>
          </cell>
          <cell r="I1254">
            <v>28612488.682083301</v>
          </cell>
        </row>
        <row r="1255">
          <cell r="A1255" t="str">
            <v>111IPWA</v>
          </cell>
          <cell r="B1255" t="str">
            <v>111IP</v>
          </cell>
          <cell r="C1255" t="str">
            <v>WA</v>
          </cell>
          <cell r="D1255">
            <v>-3023.6</v>
          </cell>
          <cell r="F1255" t="str">
            <v>111IPWA</v>
          </cell>
          <cell r="G1255" t="str">
            <v>111IP</v>
          </cell>
          <cell r="H1255" t="str">
            <v>WA</v>
          </cell>
          <cell r="I1255">
            <v>-3023.6</v>
          </cell>
        </row>
        <row r="1256">
          <cell r="A1256" t="str">
            <v>111IPWYP</v>
          </cell>
          <cell r="B1256" t="str">
            <v>111IP</v>
          </cell>
          <cell r="C1256" t="str">
            <v>WYP</v>
          </cell>
          <cell r="D1256">
            <v>-99289.027083333305</v>
          </cell>
          <cell r="F1256" t="str">
            <v>111IPWYP</v>
          </cell>
          <cell r="G1256" t="str">
            <v>111IP</v>
          </cell>
          <cell r="H1256" t="str">
            <v>WYP</v>
          </cell>
          <cell r="I1256">
            <v>-99289.027083333305</v>
          </cell>
        </row>
        <row r="1257">
          <cell r="A1257" t="str">
            <v>182MCA</v>
          </cell>
          <cell r="B1257" t="str">
            <v>182M</v>
          </cell>
          <cell r="C1257" t="str">
            <v>CA</v>
          </cell>
          <cell r="D1257">
            <v>-1325556.69791667</v>
          </cell>
          <cell r="F1257" t="str">
            <v>182MCA</v>
          </cell>
          <cell r="G1257" t="str">
            <v>182M</v>
          </cell>
          <cell r="H1257" t="str">
            <v>CA</v>
          </cell>
          <cell r="I1257">
            <v>-1325556.69791667</v>
          </cell>
        </row>
        <row r="1258">
          <cell r="A1258" t="str">
            <v>182MCAEE</v>
          </cell>
          <cell r="B1258" t="str">
            <v>182M</v>
          </cell>
          <cell r="C1258" t="str">
            <v>CAEE</v>
          </cell>
          <cell r="D1258">
            <v>188312792.27333301</v>
          </cell>
          <cell r="F1258" t="str">
            <v>182MCAEE</v>
          </cell>
          <cell r="G1258" t="str">
            <v>182M</v>
          </cell>
          <cell r="H1258" t="str">
            <v>CAEE</v>
          </cell>
          <cell r="I1258">
            <v>188312792.27333301</v>
          </cell>
        </row>
        <row r="1259">
          <cell r="A1259" t="str">
            <v>182MCAGE</v>
          </cell>
          <cell r="B1259" t="str">
            <v>182M</v>
          </cell>
          <cell r="C1259" t="str">
            <v>CAGE</v>
          </cell>
          <cell r="D1259">
            <v>3448669.39</v>
          </cell>
          <cell r="F1259" t="str">
            <v>182MCAGE</v>
          </cell>
          <cell r="G1259" t="str">
            <v>182M</v>
          </cell>
          <cell r="H1259" t="str">
            <v>CAGE</v>
          </cell>
          <cell r="I1259">
            <v>3448669.39</v>
          </cell>
        </row>
        <row r="1260">
          <cell r="A1260" t="str">
            <v>182MCAGW</v>
          </cell>
          <cell r="B1260" t="str">
            <v>182M</v>
          </cell>
          <cell r="C1260" t="str">
            <v>CAGW</v>
          </cell>
          <cell r="D1260">
            <v>0</v>
          </cell>
          <cell r="F1260" t="str">
            <v>182MCAGW</v>
          </cell>
          <cell r="G1260" t="str">
            <v>182M</v>
          </cell>
          <cell r="H1260" t="str">
            <v>CAGW</v>
          </cell>
          <cell r="I1260">
            <v>0</v>
          </cell>
        </row>
        <row r="1261">
          <cell r="A1261" t="str">
            <v>182MID</v>
          </cell>
          <cell r="B1261" t="str">
            <v>182M</v>
          </cell>
          <cell r="C1261" t="str">
            <v>ID</v>
          </cell>
          <cell r="D1261">
            <v>-1339045.7641666699</v>
          </cell>
          <cell r="F1261" t="str">
            <v>182MID</v>
          </cell>
          <cell r="G1261" t="str">
            <v>182M</v>
          </cell>
          <cell r="H1261" t="str">
            <v>ID</v>
          </cell>
          <cell r="I1261">
            <v>-1339045.7641666699</v>
          </cell>
        </row>
        <row r="1262">
          <cell r="A1262" t="str">
            <v>182MJBG</v>
          </cell>
          <cell r="B1262" t="str">
            <v>182M</v>
          </cell>
          <cell r="C1262" t="str">
            <v>JBG</v>
          </cell>
          <cell r="D1262">
            <v>0</v>
          </cell>
          <cell r="F1262" t="str">
            <v>182MJBG</v>
          </cell>
          <cell r="G1262" t="str">
            <v>182M</v>
          </cell>
          <cell r="H1262" t="str">
            <v>JBG</v>
          </cell>
          <cell r="I1262">
            <v>0</v>
          </cell>
        </row>
        <row r="1263">
          <cell r="A1263" t="str">
            <v>182MOR</v>
          </cell>
          <cell r="B1263" t="str">
            <v>182M</v>
          </cell>
          <cell r="C1263" t="str">
            <v>OR</v>
          </cell>
          <cell r="D1263">
            <v>-8311959.3641666695</v>
          </cell>
          <cell r="F1263" t="str">
            <v>182MOR</v>
          </cell>
          <cell r="G1263" t="str">
            <v>182M</v>
          </cell>
          <cell r="H1263" t="str">
            <v>OR</v>
          </cell>
          <cell r="I1263">
            <v>-8311959.3641666695</v>
          </cell>
        </row>
        <row r="1264">
          <cell r="A1264" t="str">
            <v>182MOTHER</v>
          </cell>
          <cell r="B1264" t="str">
            <v>182M</v>
          </cell>
          <cell r="C1264" t="str">
            <v>OTHER</v>
          </cell>
          <cell r="D1264">
            <v>113503988.05249999</v>
          </cell>
          <cell r="F1264" t="str">
            <v>182MOTHER</v>
          </cell>
          <cell r="G1264" t="str">
            <v>182M</v>
          </cell>
          <cell r="H1264" t="str">
            <v>OTHER</v>
          </cell>
          <cell r="I1264">
            <v>113503988.05249999</v>
          </cell>
        </row>
        <row r="1265">
          <cell r="A1265" t="str">
            <v>182MSO</v>
          </cell>
          <cell r="B1265" t="str">
            <v>182M</v>
          </cell>
          <cell r="C1265" t="str">
            <v>SO</v>
          </cell>
          <cell r="D1265">
            <v>0</v>
          </cell>
          <cell r="F1265" t="str">
            <v>182MSO</v>
          </cell>
          <cell r="G1265" t="str">
            <v>182M</v>
          </cell>
          <cell r="H1265" t="str">
            <v>SO</v>
          </cell>
          <cell r="I1265">
            <v>0</v>
          </cell>
        </row>
        <row r="1266">
          <cell r="A1266" t="str">
            <v>182MUT</v>
          </cell>
          <cell r="B1266" t="str">
            <v>182M</v>
          </cell>
          <cell r="C1266" t="str">
            <v>UT</v>
          </cell>
          <cell r="D1266">
            <v>8396565.0775000006</v>
          </cell>
          <cell r="F1266" t="str">
            <v>182MUT</v>
          </cell>
          <cell r="G1266" t="str">
            <v>182M</v>
          </cell>
          <cell r="H1266" t="str">
            <v>UT</v>
          </cell>
          <cell r="I1266">
            <v>8396565.0775000006</v>
          </cell>
        </row>
        <row r="1267">
          <cell r="A1267" t="str">
            <v>182MWA</v>
          </cell>
          <cell r="B1267" t="str">
            <v>182M</v>
          </cell>
          <cell r="C1267" t="str">
            <v>WA</v>
          </cell>
          <cell r="D1267">
            <v>108754.74</v>
          </cell>
          <cell r="F1267" t="str">
            <v>182MWA</v>
          </cell>
          <cell r="G1267" t="str">
            <v>182M</v>
          </cell>
          <cell r="H1267" t="str">
            <v>WA</v>
          </cell>
          <cell r="I1267">
            <v>108754.74</v>
          </cell>
        </row>
        <row r="1268">
          <cell r="A1268" t="str">
            <v>182MWYP</v>
          </cell>
          <cell r="B1268" t="str">
            <v>182M</v>
          </cell>
          <cell r="C1268" t="str">
            <v>WYP</v>
          </cell>
          <cell r="D1268">
            <v>11018655.2908333</v>
          </cell>
          <cell r="F1268" t="str">
            <v>182MWYP</v>
          </cell>
          <cell r="G1268" t="str">
            <v>182M</v>
          </cell>
          <cell r="H1268" t="str">
            <v>WYP</v>
          </cell>
          <cell r="I1268">
            <v>11018655.2908333</v>
          </cell>
        </row>
        <row r="1269">
          <cell r="A1269" t="str">
            <v>182MWYU</v>
          </cell>
          <cell r="B1269" t="str">
            <v>182M</v>
          </cell>
          <cell r="C1269" t="str">
            <v>WYU</v>
          </cell>
          <cell r="D1269">
            <v>-5018933.32</v>
          </cell>
          <cell r="F1269" t="str">
            <v>182MWYU</v>
          </cell>
          <cell r="G1269" t="str">
            <v>182M</v>
          </cell>
          <cell r="H1269" t="str">
            <v>WYU</v>
          </cell>
          <cell r="I1269">
            <v>-5018933.32</v>
          </cell>
        </row>
        <row r="1270">
          <cell r="A1270" t="str">
            <v>182WCA</v>
          </cell>
          <cell r="B1270" t="str">
            <v>182W</v>
          </cell>
          <cell r="C1270" t="str">
            <v>CA</v>
          </cell>
          <cell r="D1270">
            <v>0.01</v>
          </cell>
          <cell r="F1270" t="str">
            <v>182WCA</v>
          </cell>
          <cell r="G1270" t="str">
            <v>182W</v>
          </cell>
          <cell r="H1270" t="str">
            <v>CA</v>
          </cell>
          <cell r="I1270">
            <v>0.01</v>
          </cell>
        </row>
        <row r="1271">
          <cell r="A1271" t="str">
            <v>182WID</v>
          </cell>
          <cell r="B1271" t="str">
            <v>182W</v>
          </cell>
          <cell r="C1271" t="str">
            <v>ID</v>
          </cell>
          <cell r="D1271">
            <v>1687321.02</v>
          </cell>
          <cell r="F1271" t="str">
            <v>182WID</v>
          </cell>
          <cell r="G1271" t="str">
            <v>182W</v>
          </cell>
          <cell r="H1271" t="str">
            <v>ID</v>
          </cell>
          <cell r="I1271">
            <v>1687321.02</v>
          </cell>
        </row>
        <row r="1272">
          <cell r="A1272" t="str">
            <v>182WOTHER</v>
          </cell>
          <cell r="B1272" t="str">
            <v>182W</v>
          </cell>
          <cell r="C1272" t="str">
            <v>OTHER</v>
          </cell>
          <cell r="D1272">
            <v>-10291153.09375</v>
          </cell>
          <cell r="F1272" t="str">
            <v>182WOTHER</v>
          </cell>
          <cell r="G1272" t="str">
            <v>182W</v>
          </cell>
          <cell r="H1272" t="str">
            <v>OTHER</v>
          </cell>
          <cell r="I1272">
            <v>-10291153.09375</v>
          </cell>
        </row>
        <row r="1273">
          <cell r="A1273" t="str">
            <v>182WUT</v>
          </cell>
          <cell r="B1273" t="str">
            <v>182W</v>
          </cell>
          <cell r="C1273" t="str">
            <v>UT</v>
          </cell>
          <cell r="D1273">
            <v>0</v>
          </cell>
          <cell r="F1273" t="str">
            <v>182WUT</v>
          </cell>
          <cell r="G1273" t="str">
            <v>182W</v>
          </cell>
          <cell r="H1273" t="str">
            <v>UT</v>
          </cell>
          <cell r="I1273">
            <v>0</v>
          </cell>
        </row>
        <row r="1274">
          <cell r="A1274" t="str">
            <v>182WWYP</v>
          </cell>
          <cell r="B1274" t="str">
            <v>182W</v>
          </cell>
          <cell r="C1274" t="str">
            <v>WYP</v>
          </cell>
          <cell r="D1274">
            <v>-412535.40375</v>
          </cell>
          <cell r="F1274" t="str">
            <v>182WWYP</v>
          </cell>
          <cell r="G1274" t="str">
            <v>182W</v>
          </cell>
          <cell r="H1274" t="str">
            <v>WYP</v>
          </cell>
          <cell r="I1274">
            <v>-412535.40375</v>
          </cell>
        </row>
        <row r="1275">
          <cell r="A1275" t="str">
            <v>182WWYU</v>
          </cell>
          <cell r="B1275" t="str">
            <v>182W</v>
          </cell>
          <cell r="C1275" t="str">
            <v>WYU</v>
          </cell>
          <cell r="D1275">
            <v>0</v>
          </cell>
          <cell r="F1275" t="str">
            <v>182WWYU</v>
          </cell>
          <cell r="G1275" t="str">
            <v>182W</v>
          </cell>
          <cell r="H1275" t="str">
            <v>WYU</v>
          </cell>
          <cell r="I1275">
            <v>0</v>
          </cell>
        </row>
        <row r="1276">
          <cell r="A1276" t="str">
            <v>186MCAEE</v>
          </cell>
          <cell r="B1276" t="str">
            <v>186M</v>
          </cell>
          <cell r="C1276" t="str">
            <v>CAEE</v>
          </cell>
          <cell r="D1276">
            <v>1648319.80291667</v>
          </cell>
          <cell r="F1276" t="str">
            <v>186MCAEE</v>
          </cell>
          <cell r="G1276" t="str">
            <v>186M</v>
          </cell>
          <cell r="H1276" t="str">
            <v>CAEE</v>
          </cell>
          <cell r="I1276">
            <v>1648319.80291667</v>
          </cell>
        </row>
        <row r="1277">
          <cell r="A1277" t="str">
            <v>186MCAEW</v>
          </cell>
          <cell r="B1277" t="str">
            <v>186M</v>
          </cell>
          <cell r="C1277" t="str">
            <v>CAEW</v>
          </cell>
          <cell r="D1277">
            <v>0</v>
          </cell>
          <cell r="F1277" t="str">
            <v>186MCAEW</v>
          </cell>
          <cell r="G1277" t="str">
            <v>186M</v>
          </cell>
          <cell r="H1277" t="str">
            <v>CAEW</v>
          </cell>
          <cell r="I1277">
            <v>0</v>
          </cell>
        </row>
        <row r="1278">
          <cell r="A1278" t="str">
            <v>186MCAGE</v>
          </cell>
          <cell r="B1278" t="str">
            <v>186M</v>
          </cell>
          <cell r="C1278" t="str">
            <v>CAGE</v>
          </cell>
          <cell r="D1278">
            <v>41336681.804166697</v>
          </cell>
          <cell r="F1278" t="str">
            <v>186MCAGE</v>
          </cell>
          <cell r="G1278" t="str">
            <v>186M</v>
          </cell>
          <cell r="H1278" t="str">
            <v>CAGE</v>
          </cell>
          <cell r="I1278">
            <v>41336681.804166697</v>
          </cell>
        </row>
        <row r="1279">
          <cell r="A1279" t="str">
            <v>186MCAGW</v>
          </cell>
          <cell r="B1279" t="str">
            <v>186M</v>
          </cell>
          <cell r="C1279" t="str">
            <v>CAGW</v>
          </cell>
          <cell r="D1279">
            <v>15964362.1858333</v>
          </cell>
          <cell r="F1279" t="str">
            <v>186MCAGW</v>
          </cell>
          <cell r="G1279" t="str">
            <v>186M</v>
          </cell>
          <cell r="H1279" t="str">
            <v>CAGW</v>
          </cell>
          <cell r="I1279">
            <v>15964362.1858333</v>
          </cell>
        </row>
        <row r="1280">
          <cell r="A1280" t="str">
            <v>186MID</v>
          </cell>
          <cell r="B1280" t="str">
            <v>186M</v>
          </cell>
          <cell r="C1280" t="str">
            <v>ID</v>
          </cell>
          <cell r="D1280">
            <v>0</v>
          </cell>
          <cell r="F1280" t="str">
            <v>186MID</v>
          </cell>
          <cell r="G1280" t="str">
            <v>186M</v>
          </cell>
          <cell r="H1280" t="str">
            <v>ID</v>
          </cell>
          <cell r="I1280">
            <v>0</v>
          </cell>
        </row>
        <row r="1281">
          <cell r="A1281" t="str">
            <v>186MJBE</v>
          </cell>
          <cell r="B1281" t="str">
            <v>186M</v>
          </cell>
          <cell r="C1281" t="str">
            <v>JBE</v>
          </cell>
          <cell r="D1281">
            <v>1127.1566666666699</v>
          </cell>
          <cell r="F1281" t="str">
            <v>186MJBE</v>
          </cell>
          <cell r="G1281" t="str">
            <v>186M</v>
          </cell>
          <cell r="H1281" t="str">
            <v>JBE</v>
          </cell>
          <cell r="I1281">
            <v>1127.1566666666699</v>
          </cell>
        </row>
        <row r="1282">
          <cell r="A1282" t="str">
            <v>186MOR</v>
          </cell>
          <cell r="B1282" t="str">
            <v>186M</v>
          </cell>
          <cell r="C1282" t="str">
            <v>OR</v>
          </cell>
          <cell r="D1282">
            <v>0</v>
          </cell>
          <cell r="F1282" t="str">
            <v>186MOR</v>
          </cell>
          <cell r="G1282" t="str">
            <v>186M</v>
          </cell>
          <cell r="H1282" t="str">
            <v>OR</v>
          </cell>
          <cell r="I1282">
            <v>0</v>
          </cell>
        </row>
        <row r="1283">
          <cell r="A1283" t="str">
            <v>186MOTHER</v>
          </cell>
          <cell r="B1283" t="str">
            <v>186M</v>
          </cell>
          <cell r="C1283" t="str">
            <v>OTHER</v>
          </cell>
          <cell r="D1283">
            <v>4078118.40583333</v>
          </cell>
          <cell r="F1283" t="str">
            <v>186MOTHER</v>
          </cell>
          <cell r="G1283" t="str">
            <v>186M</v>
          </cell>
          <cell r="H1283" t="str">
            <v>OTHER</v>
          </cell>
          <cell r="I1283">
            <v>4078118.40583333</v>
          </cell>
        </row>
        <row r="1284">
          <cell r="A1284" t="str">
            <v>186MSG</v>
          </cell>
          <cell r="B1284" t="str">
            <v>186M</v>
          </cell>
          <cell r="C1284" t="str">
            <v>SG</v>
          </cell>
          <cell r="D1284">
            <v>12379662.5233333</v>
          </cell>
          <cell r="F1284" t="str">
            <v>186MSG</v>
          </cell>
          <cell r="G1284" t="str">
            <v>186M</v>
          </cell>
          <cell r="H1284" t="str">
            <v>SG</v>
          </cell>
          <cell r="I1284">
            <v>12379662.5233333</v>
          </cell>
        </row>
        <row r="1285">
          <cell r="A1285" t="str">
            <v>186MSO</v>
          </cell>
          <cell r="B1285" t="str">
            <v>186M</v>
          </cell>
          <cell r="C1285" t="str">
            <v>SO</v>
          </cell>
          <cell r="D1285">
            <v>309632.412916667</v>
          </cell>
          <cell r="F1285" t="str">
            <v>186MSO</v>
          </cell>
          <cell r="G1285" t="str">
            <v>186M</v>
          </cell>
          <cell r="H1285" t="str">
            <v>SO</v>
          </cell>
          <cell r="I1285">
            <v>309632.412916667</v>
          </cell>
        </row>
        <row r="1286">
          <cell r="A1286" t="str">
            <v>186MWA</v>
          </cell>
          <cell r="B1286" t="str">
            <v>186M</v>
          </cell>
          <cell r="C1286" t="str">
            <v>WA</v>
          </cell>
          <cell r="D1286">
            <v>0</v>
          </cell>
          <cell r="F1286" t="str">
            <v>186MWA</v>
          </cell>
          <cell r="G1286" t="str">
            <v>186M</v>
          </cell>
          <cell r="H1286" t="str">
            <v>WA</v>
          </cell>
          <cell r="I1286">
            <v>0</v>
          </cell>
        </row>
        <row r="1287">
          <cell r="A1287" t="str">
            <v>186WOTHER</v>
          </cell>
          <cell r="B1287" t="str">
            <v>186W</v>
          </cell>
          <cell r="C1287" t="str">
            <v>OTHER</v>
          </cell>
          <cell r="D1287">
            <v>0</v>
          </cell>
          <cell r="F1287" t="str">
            <v>186WOTHER</v>
          </cell>
          <cell r="G1287" t="str">
            <v>186W</v>
          </cell>
          <cell r="H1287" t="str">
            <v>OTHER</v>
          </cell>
          <cell r="I1287">
            <v>0</v>
          </cell>
        </row>
        <row r="1288">
          <cell r="A1288" t="str">
            <v>DPCA</v>
          </cell>
          <cell r="B1288" t="str">
            <v>DP</v>
          </cell>
          <cell r="C1288" t="str">
            <v>CA</v>
          </cell>
          <cell r="D1288">
            <v>2646161.9308333299</v>
          </cell>
          <cell r="F1288" t="str">
            <v>DPCA</v>
          </cell>
          <cell r="G1288" t="str">
            <v>DP</v>
          </cell>
          <cell r="H1288" t="str">
            <v>CA</v>
          </cell>
          <cell r="I1288">
            <v>2646161.9308333299</v>
          </cell>
        </row>
        <row r="1289">
          <cell r="A1289" t="str">
            <v>DPID</v>
          </cell>
          <cell r="B1289" t="str">
            <v>DP</v>
          </cell>
          <cell r="C1289" t="str">
            <v>ID</v>
          </cell>
          <cell r="D1289">
            <v>2134152.6616666699</v>
          </cell>
          <cell r="F1289" t="str">
            <v>DPID</v>
          </cell>
          <cell r="G1289" t="str">
            <v>DP</v>
          </cell>
          <cell r="H1289" t="str">
            <v>ID</v>
          </cell>
          <cell r="I1289">
            <v>2134152.6616666699</v>
          </cell>
        </row>
        <row r="1290">
          <cell r="A1290" t="str">
            <v>DPOR</v>
          </cell>
          <cell r="B1290" t="str">
            <v>DP</v>
          </cell>
          <cell r="C1290" t="str">
            <v>OR</v>
          </cell>
          <cell r="D1290">
            <v>16509125.305416699</v>
          </cell>
          <cell r="F1290" t="str">
            <v>DPOR</v>
          </cell>
          <cell r="G1290" t="str">
            <v>DP</v>
          </cell>
          <cell r="H1290" t="str">
            <v>OR</v>
          </cell>
          <cell r="I1290">
            <v>16509125.305416699</v>
          </cell>
        </row>
        <row r="1291">
          <cell r="A1291" t="str">
            <v>DPSG</v>
          </cell>
          <cell r="B1291" t="str">
            <v>DP</v>
          </cell>
          <cell r="C1291" t="str">
            <v>SG</v>
          </cell>
          <cell r="D1291">
            <v>0</v>
          </cell>
          <cell r="F1291" t="str">
            <v>DPSG</v>
          </cell>
          <cell r="G1291" t="str">
            <v>DP</v>
          </cell>
          <cell r="H1291" t="str">
            <v>SG</v>
          </cell>
          <cell r="I1291">
            <v>0</v>
          </cell>
        </row>
        <row r="1292">
          <cell r="A1292" t="str">
            <v>DPSNPD</v>
          </cell>
          <cell r="B1292" t="str">
            <v>DP</v>
          </cell>
          <cell r="C1292" t="str">
            <v>SNPD</v>
          </cell>
          <cell r="D1292">
            <v>0</v>
          </cell>
          <cell r="F1292" t="str">
            <v>DPSNPD</v>
          </cell>
          <cell r="G1292" t="str">
            <v>DP</v>
          </cell>
          <cell r="H1292" t="str">
            <v>SNPD</v>
          </cell>
          <cell r="I1292">
            <v>0</v>
          </cell>
        </row>
        <row r="1293">
          <cell r="A1293" t="str">
            <v>DPUT</v>
          </cell>
          <cell r="B1293" t="str">
            <v>DP</v>
          </cell>
          <cell r="C1293" t="str">
            <v>UT</v>
          </cell>
          <cell r="D1293">
            <v>22839792.883333299</v>
          </cell>
          <cell r="F1293" t="str">
            <v>DPUT</v>
          </cell>
          <cell r="G1293" t="str">
            <v>DP</v>
          </cell>
          <cell r="H1293" t="str">
            <v>UT</v>
          </cell>
          <cell r="I1293">
            <v>22839792.883333299</v>
          </cell>
        </row>
        <row r="1294">
          <cell r="A1294" t="str">
            <v>DPWA</v>
          </cell>
          <cell r="B1294" t="str">
            <v>DP</v>
          </cell>
          <cell r="C1294" t="str">
            <v>WA</v>
          </cell>
          <cell r="D1294">
            <v>6981707.5337500004</v>
          </cell>
          <cell r="F1294" t="str">
            <v>DPWA</v>
          </cell>
          <cell r="G1294" t="str">
            <v>DP</v>
          </cell>
          <cell r="H1294" t="str">
            <v>WA</v>
          </cell>
          <cell r="I1294">
            <v>6981707.5337500004</v>
          </cell>
        </row>
        <row r="1295">
          <cell r="A1295" t="str">
            <v>DPWYU</v>
          </cell>
          <cell r="B1295" t="str">
            <v>DP</v>
          </cell>
          <cell r="C1295" t="str">
            <v>WYU</v>
          </cell>
          <cell r="D1295">
            <v>6067394.2350000003</v>
          </cell>
          <cell r="F1295" t="str">
            <v>DPWYU</v>
          </cell>
          <cell r="G1295" t="str">
            <v>DP</v>
          </cell>
          <cell r="H1295" t="str">
            <v>WYU</v>
          </cell>
          <cell r="I1295">
            <v>6067394.2350000003</v>
          </cell>
        </row>
        <row r="1296">
          <cell r="A1296" t="str">
            <v>GPCAGE</v>
          </cell>
          <cell r="B1296" t="str">
            <v>GP</v>
          </cell>
          <cell r="C1296" t="str">
            <v>CAGE</v>
          </cell>
          <cell r="D1296">
            <v>6845.7591666666704</v>
          </cell>
          <cell r="F1296" t="str">
            <v>GPCAGE</v>
          </cell>
          <cell r="G1296" t="str">
            <v>GP</v>
          </cell>
          <cell r="H1296" t="str">
            <v>CAGE</v>
          </cell>
          <cell r="I1296">
            <v>6845.7591666666704</v>
          </cell>
        </row>
        <row r="1297">
          <cell r="A1297" t="str">
            <v>GPCAGW</v>
          </cell>
          <cell r="B1297" t="str">
            <v>GP</v>
          </cell>
          <cell r="C1297" t="str">
            <v>CAGW</v>
          </cell>
          <cell r="D1297">
            <v>0</v>
          </cell>
          <cell r="F1297" t="str">
            <v>GPCAGW</v>
          </cell>
          <cell r="G1297" t="str">
            <v>GP</v>
          </cell>
          <cell r="H1297" t="str">
            <v>CAGW</v>
          </cell>
          <cell r="I1297">
            <v>0</v>
          </cell>
        </row>
        <row r="1298">
          <cell r="A1298" t="str">
            <v>GPSG</v>
          </cell>
          <cell r="B1298" t="str">
            <v>GP</v>
          </cell>
          <cell r="C1298" t="str">
            <v>SG</v>
          </cell>
          <cell r="D1298">
            <v>-6845.7591666666704</v>
          </cell>
          <cell r="F1298" t="str">
            <v>GPSG</v>
          </cell>
          <cell r="G1298" t="str">
            <v>GP</v>
          </cell>
          <cell r="H1298" t="str">
            <v>SG</v>
          </cell>
          <cell r="I1298">
            <v>-6845.7591666666704</v>
          </cell>
        </row>
        <row r="1299">
          <cell r="A1299" t="str">
            <v>GPSO</v>
          </cell>
          <cell r="B1299" t="str">
            <v>GP</v>
          </cell>
          <cell r="C1299" t="str">
            <v>SO</v>
          </cell>
          <cell r="D1299">
            <v>26642707.891666699</v>
          </cell>
          <cell r="F1299" t="str">
            <v>GPSO</v>
          </cell>
          <cell r="G1299" t="str">
            <v>GP</v>
          </cell>
          <cell r="H1299" t="str">
            <v>SO</v>
          </cell>
          <cell r="I1299">
            <v>26642707.891666699</v>
          </cell>
        </row>
        <row r="1300">
          <cell r="A1300" t="str">
            <v>IPSO</v>
          </cell>
          <cell r="B1300" t="str">
            <v>IP</v>
          </cell>
          <cell r="C1300" t="str">
            <v>SO</v>
          </cell>
          <cell r="D1300">
            <v>0</v>
          </cell>
          <cell r="F1300" t="str">
            <v>IPSO</v>
          </cell>
          <cell r="G1300" t="str">
            <v>IP</v>
          </cell>
          <cell r="H1300" t="str">
            <v>SO</v>
          </cell>
          <cell r="I1300">
            <v>0</v>
          </cell>
        </row>
        <row r="1301">
          <cell r="A1301" t="str">
            <v>OPCAGE</v>
          </cell>
          <cell r="B1301" t="str">
            <v>OP</v>
          </cell>
          <cell r="C1301" t="str">
            <v>CAGE</v>
          </cell>
          <cell r="D1301">
            <v>0</v>
          </cell>
          <cell r="F1301" t="str">
            <v>OPCAGE</v>
          </cell>
          <cell r="G1301" t="str">
            <v>OP</v>
          </cell>
          <cell r="H1301" t="str">
            <v>CAGE</v>
          </cell>
          <cell r="I1301">
            <v>0</v>
          </cell>
        </row>
        <row r="1302">
          <cell r="A1302" t="str">
            <v>OPCAGW</v>
          </cell>
          <cell r="B1302" t="str">
            <v>OP</v>
          </cell>
          <cell r="C1302" t="str">
            <v>CAGW</v>
          </cell>
          <cell r="D1302">
            <v>-553173</v>
          </cell>
          <cell r="F1302" t="str">
            <v>OPCAGW</v>
          </cell>
          <cell r="G1302" t="str">
            <v>OP</v>
          </cell>
          <cell r="H1302" t="str">
            <v>CAGW</v>
          </cell>
          <cell r="I1302">
            <v>-553173</v>
          </cell>
        </row>
        <row r="1303">
          <cell r="A1303" t="str">
            <v>OPSG</v>
          </cell>
          <cell r="B1303" t="str">
            <v>OP</v>
          </cell>
          <cell r="C1303" t="str">
            <v>SG</v>
          </cell>
          <cell r="D1303">
            <v>0</v>
          </cell>
          <cell r="F1303" t="str">
            <v>OPSG</v>
          </cell>
          <cell r="G1303" t="str">
            <v>OP</v>
          </cell>
          <cell r="H1303" t="str">
            <v>SG</v>
          </cell>
          <cell r="I1303">
            <v>0</v>
          </cell>
        </row>
        <row r="1304">
          <cell r="A1304" t="str">
            <v>SPCAGE</v>
          </cell>
          <cell r="B1304" t="str">
            <v>SP</v>
          </cell>
          <cell r="C1304" t="str">
            <v>CAGE</v>
          </cell>
          <cell r="D1304">
            <v>-11695324.375</v>
          </cell>
          <cell r="F1304" t="str">
            <v>SPCAGE</v>
          </cell>
          <cell r="G1304" t="str">
            <v>SP</v>
          </cell>
          <cell r="H1304" t="str">
            <v>CAGE</v>
          </cell>
          <cell r="I1304">
            <v>-11695324.375</v>
          </cell>
        </row>
        <row r="1305">
          <cell r="A1305" t="str">
            <v>SPCAGW</v>
          </cell>
          <cell r="B1305" t="str">
            <v>SP</v>
          </cell>
          <cell r="C1305" t="str">
            <v>CAGW</v>
          </cell>
          <cell r="D1305">
            <v>553173</v>
          </cell>
          <cell r="F1305" t="str">
            <v>SPCAGW</v>
          </cell>
          <cell r="G1305" t="str">
            <v>SP</v>
          </cell>
          <cell r="H1305" t="str">
            <v>CAGW</v>
          </cell>
          <cell r="I1305">
            <v>553173</v>
          </cell>
        </row>
        <row r="1306">
          <cell r="A1306" t="str">
            <v>SPSG</v>
          </cell>
          <cell r="B1306" t="str">
            <v>SP</v>
          </cell>
          <cell r="C1306" t="str">
            <v>SG</v>
          </cell>
          <cell r="D1306">
            <v>56959454.567916699</v>
          </cell>
          <cell r="F1306" t="str">
            <v>SPSG</v>
          </cell>
          <cell r="G1306" t="str">
            <v>SP</v>
          </cell>
          <cell r="H1306" t="str">
            <v>SG</v>
          </cell>
          <cell r="I1306">
            <v>56959454.567916699</v>
          </cell>
        </row>
        <row r="1307">
          <cell r="A1307" t="str">
            <v>TPCA</v>
          </cell>
          <cell r="B1307" t="str">
            <v>TP</v>
          </cell>
          <cell r="C1307" t="str">
            <v>CA</v>
          </cell>
          <cell r="D1307">
            <v>0</v>
          </cell>
          <cell r="F1307" t="str">
            <v>TPCA</v>
          </cell>
          <cell r="G1307" t="str">
            <v>TP</v>
          </cell>
          <cell r="H1307" t="str">
            <v>CA</v>
          </cell>
          <cell r="I1307">
            <v>0</v>
          </cell>
        </row>
        <row r="1308">
          <cell r="A1308" t="str">
            <v>TPCAEE</v>
          </cell>
          <cell r="B1308" t="str">
            <v>TP</v>
          </cell>
          <cell r="C1308" t="str">
            <v>CAEE</v>
          </cell>
          <cell r="D1308">
            <v>0</v>
          </cell>
          <cell r="F1308" t="str">
            <v>TPCAEE</v>
          </cell>
          <cell r="G1308" t="str">
            <v>TP</v>
          </cell>
          <cell r="H1308" t="str">
            <v>CAEE</v>
          </cell>
          <cell r="I1308">
            <v>0</v>
          </cell>
        </row>
        <row r="1309">
          <cell r="A1309" t="str">
            <v>TPCAGE</v>
          </cell>
          <cell r="B1309" t="str">
            <v>TP</v>
          </cell>
          <cell r="C1309" t="str">
            <v>CAGE</v>
          </cell>
          <cell r="D1309">
            <v>57423455.947499998</v>
          </cell>
          <cell r="F1309" t="str">
            <v>TPCAGE</v>
          </cell>
          <cell r="G1309" t="str">
            <v>TP</v>
          </cell>
          <cell r="H1309" t="str">
            <v>CAGE</v>
          </cell>
          <cell r="I1309">
            <v>57423455.947499998</v>
          </cell>
        </row>
        <row r="1310">
          <cell r="A1310" t="str">
            <v>TPCAGW</v>
          </cell>
          <cell r="B1310" t="str">
            <v>TP</v>
          </cell>
          <cell r="C1310" t="str">
            <v>CAGW</v>
          </cell>
          <cell r="D1310">
            <v>52604042.061250001</v>
          </cell>
          <cell r="F1310" t="str">
            <v>TPCAGW</v>
          </cell>
          <cell r="G1310" t="str">
            <v>TP</v>
          </cell>
          <cell r="H1310" t="str">
            <v>CAGW</v>
          </cell>
          <cell r="I1310">
            <v>52604042.061250001</v>
          </cell>
        </row>
        <row r="1311">
          <cell r="A1311" t="str">
            <v>TPSG</v>
          </cell>
          <cell r="B1311" t="str">
            <v>TP</v>
          </cell>
          <cell r="C1311" t="str">
            <v>SG</v>
          </cell>
          <cell r="D1311">
            <v>-8978581.5999999996</v>
          </cell>
          <cell r="F1311" t="str">
            <v>TPSG</v>
          </cell>
          <cell r="G1311" t="str">
            <v>TP</v>
          </cell>
          <cell r="H1311" t="str">
            <v>SG</v>
          </cell>
          <cell r="I1311">
            <v>-8978581.5999999996</v>
          </cell>
        </row>
        <row r="1312">
          <cell r="A1312" t="str">
            <v>TPSO</v>
          </cell>
          <cell r="B1312" t="str">
            <v>TP</v>
          </cell>
          <cell r="C1312" t="str">
            <v>SO</v>
          </cell>
          <cell r="D1312">
            <v>0</v>
          </cell>
          <cell r="F1312" t="str">
            <v>TPSO</v>
          </cell>
          <cell r="G1312" t="str">
            <v>TP</v>
          </cell>
          <cell r="H1312" t="str">
            <v>SO</v>
          </cell>
          <cell r="I1312">
            <v>0</v>
          </cell>
        </row>
        <row r="1313">
          <cell r="A1313" t="str">
            <v>143SO</v>
          </cell>
          <cell r="B1313" t="str">
            <v>143</v>
          </cell>
          <cell r="C1313" t="str">
            <v>SO</v>
          </cell>
          <cell r="D1313">
            <v>52083007.785833403</v>
          </cell>
          <cell r="F1313" t="str">
            <v>143SO</v>
          </cell>
          <cell r="G1313" t="str">
            <v>143</v>
          </cell>
          <cell r="H1313" t="str">
            <v>SO</v>
          </cell>
          <cell r="I1313">
            <v>52083007.785833403</v>
          </cell>
        </row>
        <row r="1314">
          <cell r="A1314" t="str">
            <v>230OTHER</v>
          </cell>
          <cell r="B1314" t="str">
            <v>230</v>
          </cell>
          <cell r="C1314" t="str">
            <v>OTHER</v>
          </cell>
          <cell r="D1314">
            <v>-8267790.4500000002</v>
          </cell>
          <cell r="F1314" t="str">
            <v>230OTHER</v>
          </cell>
          <cell r="G1314" t="str">
            <v>230</v>
          </cell>
          <cell r="H1314" t="str">
            <v>OTHER</v>
          </cell>
          <cell r="I1314">
            <v>-8267790.4500000002</v>
          </cell>
        </row>
        <row r="1315">
          <cell r="A1315" t="str">
            <v>232CAEE</v>
          </cell>
          <cell r="B1315" t="str">
            <v>232</v>
          </cell>
          <cell r="C1315" t="str">
            <v>CAEE</v>
          </cell>
          <cell r="D1315">
            <v>-1813806.0991666699</v>
          </cell>
          <cell r="F1315" t="str">
            <v>232CAEE</v>
          </cell>
          <cell r="G1315" t="str">
            <v>232</v>
          </cell>
          <cell r="H1315" t="str">
            <v>CAEE</v>
          </cell>
          <cell r="I1315">
            <v>-1813806.0991666699</v>
          </cell>
        </row>
        <row r="1316">
          <cell r="A1316" t="str">
            <v>232OTHER</v>
          </cell>
          <cell r="B1316" t="str">
            <v>232</v>
          </cell>
          <cell r="C1316" t="str">
            <v>OTHER</v>
          </cell>
          <cell r="D1316">
            <v>-16764.583333333299</v>
          </cell>
          <cell r="F1316" t="str">
            <v>232OTHER</v>
          </cell>
          <cell r="G1316" t="str">
            <v>232</v>
          </cell>
          <cell r="H1316" t="str">
            <v>OTHER</v>
          </cell>
          <cell r="I1316">
            <v>-16764.583333333299</v>
          </cell>
        </row>
        <row r="1317">
          <cell r="A1317" t="str">
            <v>232SG</v>
          </cell>
          <cell r="B1317" t="str">
            <v>232</v>
          </cell>
          <cell r="C1317" t="str">
            <v>SG</v>
          </cell>
          <cell r="D1317">
            <v>-2053168.1508333299</v>
          </cell>
          <cell r="F1317" t="str">
            <v>232SG</v>
          </cell>
          <cell r="G1317" t="str">
            <v>232</v>
          </cell>
          <cell r="H1317" t="str">
            <v>SG</v>
          </cell>
          <cell r="I1317">
            <v>-2053168.1508333299</v>
          </cell>
        </row>
        <row r="1318">
          <cell r="A1318" t="str">
            <v>232SO</v>
          </cell>
          <cell r="B1318" t="str">
            <v>232</v>
          </cell>
          <cell r="C1318" t="str">
            <v>SO</v>
          </cell>
          <cell r="D1318">
            <v>-7320913.8499999987</v>
          </cell>
          <cell r="F1318" t="str">
            <v>232SO</v>
          </cell>
          <cell r="G1318" t="str">
            <v>232</v>
          </cell>
          <cell r="H1318" t="str">
            <v>SO</v>
          </cell>
          <cell r="I1318">
            <v>-7320913.8499999987</v>
          </cell>
        </row>
        <row r="1319">
          <cell r="A1319" t="str">
            <v>2533CAGE</v>
          </cell>
          <cell r="B1319" t="str">
            <v>2533</v>
          </cell>
          <cell r="C1319" t="str">
            <v>CAGE</v>
          </cell>
          <cell r="D1319">
            <v>-6512893.4641666701</v>
          </cell>
          <cell r="F1319" t="str">
            <v>2533CAGE</v>
          </cell>
          <cell r="G1319" t="str">
            <v>2533</v>
          </cell>
          <cell r="H1319" t="str">
            <v>CAGE</v>
          </cell>
          <cell r="I1319">
            <v>-6512893.4641666701</v>
          </cell>
        </row>
        <row r="1320">
          <cell r="A1320" t="str">
            <v>254105CAEE</v>
          </cell>
          <cell r="B1320" t="str">
            <v>254105</v>
          </cell>
          <cell r="C1320" t="str">
            <v>CAEE</v>
          </cell>
          <cell r="D1320">
            <v>19802.830000000002</v>
          </cell>
          <cell r="F1320" t="str">
            <v>254105CAEE</v>
          </cell>
          <cell r="G1320" t="str">
            <v>254105</v>
          </cell>
          <cell r="H1320" t="str">
            <v>CAEE</v>
          </cell>
          <cell r="I1320">
            <v>19802.830000000002</v>
          </cell>
        </row>
        <row r="1321">
          <cell r="A1321" t="str">
            <v>254105CAGE</v>
          </cell>
          <cell r="B1321" t="str">
            <v>254105</v>
          </cell>
          <cell r="C1321" t="str">
            <v>CAGE</v>
          </cell>
          <cell r="D1321">
            <v>-19802.830000000002</v>
          </cell>
          <cell r="F1321" t="str">
            <v>254105CAGE</v>
          </cell>
          <cell r="G1321" t="str">
            <v>254105</v>
          </cell>
          <cell r="H1321" t="str">
            <v>CAGE</v>
          </cell>
          <cell r="I1321">
            <v>-19802.830000000002</v>
          </cell>
        </row>
        <row r="1322">
          <cell r="A1322" t="str">
            <v>40910CAEE</v>
          </cell>
          <cell r="B1322">
            <v>40910</v>
          </cell>
          <cell r="C1322" t="str">
            <v>CAEE</v>
          </cell>
          <cell r="D1322">
            <v>0</v>
          </cell>
          <cell r="F1322" t="str">
            <v>40910CAEE</v>
          </cell>
          <cell r="G1322">
            <v>40910</v>
          </cell>
          <cell r="H1322" t="str">
            <v>CAEE</v>
          </cell>
          <cell r="I1322">
            <v>0</v>
          </cell>
        </row>
        <row r="1323">
          <cell r="A1323" t="str">
            <v>40910CAGE</v>
          </cell>
          <cell r="B1323">
            <v>40910</v>
          </cell>
          <cell r="C1323" t="str">
            <v>CAGE</v>
          </cell>
          <cell r="D1323">
            <v>-40261420</v>
          </cell>
          <cell r="F1323" t="str">
            <v>40910CAGE</v>
          </cell>
          <cell r="G1323">
            <v>40910</v>
          </cell>
          <cell r="H1323" t="str">
            <v>CAGE</v>
          </cell>
          <cell r="I1323">
            <v>-40261420</v>
          </cell>
        </row>
        <row r="1324">
          <cell r="A1324" t="str">
            <v>40910CAGW</v>
          </cell>
          <cell r="B1324">
            <v>40910</v>
          </cell>
          <cell r="C1324" t="str">
            <v>CAGW</v>
          </cell>
          <cell r="D1324">
            <v>-5091351</v>
          </cell>
          <cell r="F1324" t="str">
            <v>40910CAGW</v>
          </cell>
          <cell r="G1324">
            <v>40910</v>
          </cell>
          <cell r="H1324" t="str">
            <v>CAGW</v>
          </cell>
          <cell r="I1324">
            <v>-5091351</v>
          </cell>
        </row>
        <row r="1325">
          <cell r="A1325" t="str">
            <v>40910JBE</v>
          </cell>
          <cell r="B1325">
            <v>40910</v>
          </cell>
          <cell r="C1325" t="str">
            <v>JBE</v>
          </cell>
          <cell r="D1325">
            <v>-18519</v>
          </cell>
          <cell r="F1325" t="str">
            <v>40910JBE</v>
          </cell>
          <cell r="G1325">
            <v>40910</v>
          </cell>
          <cell r="H1325" t="str">
            <v>JBE</v>
          </cell>
          <cell r="I1325">
            <v>-18519</v>
          </cell>
        </row>
        <row r="1326">
          <cell r="A1326" t="str">
            <v>40910SO</v>
          </cell>
          <cell r="B1326">
            <v>40910</v>
          </cell>
          <cell r="C1326" t="str">
            <v>SO</v>
          </cell>
          <cell r="D1326">
            <v>-41507</v>
          </cell>
          <cell r="F1326" t="str">
            <v>40910SO</v>
          </cell>
          <cell r="G1326">
            <v>40910</v>
          </cell>
          <cell r="H1326" t="str">
            <v>SO</v>
          </cell>
          <cell r="I1326">
            <v>-41507</v>
          </cell>
        </row>
        <row r="1327">
          <cell r="A1327" t="str">
            <v>40911CAGE</v>
          </cell>
          <cell r="B1327">
            <v>40911</v>
          </cell>
          <cell r="C1327" t="str">
            <v>CAGE</v>
          </cell>
          <cell r="D1327">
            <v>0</v>
          </cell>
          <cell r="F1327" t="str">
            <v>40911CAGE</v>
          </cell>
          <cell r="G1327">
            <v>40911</v>
          </cell>
          <cell r="H1327" t="str">
            <v>CAGE</v>
          </cell>
          <cell r="I1327">
            <v>0</v>
          </cell>
        </row>
        <row r="1328">
          <cell r="A1328" t="str">
            <v>SCHMAPBADDEBT</v>
          </cell>
          <cell r="B1328" t="str">
            <v>SCHMAP</v>
          </cell>
          <cell r="C1328" t="str">
            <v>BADDEBT</v>
          </cell>
          <cell r="D1328">
            <v>0</v>
          </cell>
          <cell r="F1328" t="str">
            <v>SCHMAPBADDEBT</v>
          </cell>
          <cell r="G1328" t="str">
            <v>SCHMAP</v>
          </cell>
          <cell r="H1328" t="str">
            <v>BADDEBT</v>
          </cell>
          <cell r="I1328">
            <v>0</v>
          </cell>
        </row>
        <row r="1329">
          <cell r="A1329" t="str">
            <v>SCHMAPCAEE</v>
          </cell>
          <cell r="B1329" t="str">
            <v>SCHMAP</v>
          </cell>
          <cell r="C1329" t="str">
            <v>CAEE</v>
          </cell>
          <cell r="D1329">
            <v>0</v>
          </cell>
          <cell r="F1329" t="str">
            <v>SCHMAPCAEE</v>
          </cell>
          <cell r="G1329" t="str">
            <v>SCHMAP</v>
          </cell>
          <cell r="H1329" t="str">
            <v>CAEE</v>
          </cell>
          <cell r="I1329">
            <v>0</v>
          </cell>
        </row>
        <row r="1330">
          <cell r="A1330" t="str">
            <v>SCHMAPJBE</v>
          </cell>
          <cell r="B1330" t="str">
            <v>SCHMAP</v>
          </cell>
          <cell r="C1330" t="str">
            <v>JBE</v>
          </cell>
          <cell r="D1330">
            <v>58125</v>
          </cell>
          <cell r="F1330" t="str">
            <v>SCHMAPJBE</v>
          </cell>
          <cell r="G1330" t="str">
            <v>SCHMAP</v>
          </cell>
          <cell r="H1330" t="str">
            <v>JBE</v>
          </cell>
          <cell r="I1330">
            <v>58125</v>
          </cell>
        </row>
        <row r="1331">
          <cell r="A1331" t="str">
            <v>SCHMAPSCHMDEXP</v>
          </cell>
          <cell r="B1331" t="str">
            <v>SCHMAP</v>
          </cell>
          <cell r="C1331" t="str">
            <v>SCHMDEXP</v>
          </cell>
          <cell r="D1331">
            <v>129289.95000000001</v>
          </cell>
          <cell r="F1331" t="str">
            <v>SCHMAPSCHMDEXP</v>
          </cell>
          <cell r="G1331" t="str">
            <v>SCHMAP</v>
          </cell>
          <cell r="H1331" t="str">
            <v>SCHMDEXP</v>
          </cell>
          <cell r="I1331">
            <v>129289.95000000001</v>
          </cell>
        </row>
        <row r="1332">
          <cell r="A1332" t="str">
            <v>SCHMAPSO</v>
          </cell>
          <cell r="B1332" t="str">
            <v>SCHMAP</v>
          </cell>
          <cell r="C1332" t="str">
            <v>SO</v>
          </cell>
          <cell r="D1332">
            <v>2371218.8000000003</v>
          </cell>
          <cell r="F1332" t="str">
            <v>SCHMAPSO</v>
          </cell>
          <cell r="G1332" t="str">
            <v>SCHMAP</v>
          </cell>
          <cell r="H1332" t="str">
            <v>SO</v>
          </cell>
          <cell r="I1332">
            <v>2371218.8000000003</v>
          </cell>
        </row>
        <row r="1333">
          <cell r="A1333" t="str">
            <v>SCHMATBADDEBT</v>
          </cell>
          <cell r="B1333" t="str">
            <v>SCHMAT</v>
          </cell>
          <cell r="C1333" t="str">
            <v>BADDEBT</v>
          </cell>
          <cell r="D1333">
            <v>397327.95</v>
          </cell>
          <cell r="F1333" t="str">
            <v>SCHMATBADDEBT</v>
          </cell>
          <cell r="G1333" t="str">
            <v>SCHMAT</v>
          </cell>
          <cell r="H1333" t="str">
            <v>BADDEBT</v>
          </cell>
          <cell r="I1333">
            <v>397327.95</v>
          </cell>
        </row>
        <row r="1334">
          <cell r="A1334" t="str">
            <v>SCHMATCA</v>
          </cell>
          <cell r="B1334" t="str">
            <v>SCHMAT</v>
          </cell>
          <cell r="C1334" t="str">
            <v>CA</v>
          </cell>
          <cell r="D1334">
            <v>0</v>
          </cell>
          <cell r="F1334" t="str">
            <v>SCHMATCA</v>
          </cell>
          <cell r="G1334" t="str">
            <v>SCHMAT</v>
          </cell>
          <cell r="H1334" t="str">
            <v>CA</v>
          </cell>
          <cell r="I1334">
            <v>0</v>
          </cell>
        </row>
        <row r="1335">
          <cell r="A1335" t="str">
            <v>SCHMATCAEE</v>
          </cell>
          <cell r="B1335" t="str">
            <v>SCHMAT</v>
          </cell>
          <cell r="C1335" t="str">
            <v>CAEE</v>
          </cell>
          <cell r="D1335">
            <v>17453268.989999998</v>
          </cell>
          <cell r="F1335" t="str">
            <v>SCHMATCAEE</v>
          </cell>
          <cell r="G1335" t="str">
            <v>SCHMAT</v>
          </cell>
          <cell r="H1335" t="str">
            <v>CAEE</v>
          </cell>
          <cell r="I1335">
            <v>17453268.989999998</v>
          </cell>
        </row>
        <row r="1336">
          <cell r="A1336" t="str">
            <v>SCHMATCAGE</v>
          </cell>
          <cell r="B1336" t="str">
            <v>SCHMAT</v>
          </cell>
          <cell r="C1336" t="str">
            <v>CAGE</v>
          </cell>
          <cell r="D1336">
            <v>15474</v>
          </cell>
          <cell r="F1336" t="str">
            <v>SCHMATCAGE</v>
          </cell>
          <cell r="G1336" t="str">
            <v>SCHMAT</v>
          </cell>
          <cell r="H1336" t="str">
            <v>CAGE</v>
          </cell>
          <cell r="I1336">
            <v>15474</v>
          </cell>
        </row>
        <row r="1337">
          <cell r="A1337" t="str">
            <v>SCHMATCAGW</v>
          </cell>
          <cell r="B1337" t="str">
            <v>SCHMAT</v>
          </cell>
          <cell r="C1337" t="str">
            <v>CAGW</v>
          </cell>
          <cell r="D1337">
            <v>46872.5</v>
          </cell>
          <cell r="F1337" t="str">
            <v>SCHMATCAGW</v>
          </cell>
          <cell r="G1337" t="str">
            <v>SCHMAT</v>
          </cell>
          <cell r="H1337" t="str">
            <v>CAGW</v>
          </cell>
          <cell r="I1337">
            <v>46872.5</v>
          </cell>
        </row>
        <row r="1338">
          <cell r="A1338" t="str">
            <v>SCHMATCIAC</v>
          </cell>
          <cell r="B1338" t="str">
            <v>SCHMAT</v>
          </cell>
          <cell r="C1338" t="str">
            <v>CIAC</v>
          </cell>
          <cell r="D1338">
            <v>103001231.603001</v>
          </cell>
          <cell r="F1338" t="str">
            <v>SCHMATCIAC</v>
          </cell>
          <cell r="G1338" t="str">
            <v>SCHMAT</v>
          </cell>
          <cell r="H1338" t="str">
            <v>CIAC</v>
          </cell>
          <cell r="I1338">
            <v>103001231.603001</v>
          </cell>
        </row>
        <row r="1339">
          <cell r="A1339" t="str">
            <v>SCHMATGPS</v>
          </cell>
          <cell r="B1339" t="str">
            <v>SCHMAT</v>
          </cell>
          <cell r="C1339" t="str">
            <v>GPS</v>
          </cell>
          <cell r="D1339">
            <v>-591041.75</v>
          </cell>
          <cell r="F1339" t="str">
            <v>SCHMATGPS</v>
          </cell>
          <cell r="G1339" t="str">
            <v>SCHMAT</v>
          </cell>
          <cell r="H1339" t="str">
            <v>GPS</v>
          </cell>
          <cell r="I1339">
            <v>-591041.75</v>
          </cell>
        </row>
        <row r="1340">
          <cell r="A1340" t="str">
            <v>SCHMATID</v>
          </cell>
          <cell r="B1340" t="str">
            <v>SCHMAT</v>
          </cell>
          <cell r="C1340" t="str">
            <v>ID</v>
          </cell>
          <cell r="D1340">
            <v>138437.41999999998</v>
          </cell>
          <cell r="F1340" t="str">
            <v>SCHMATID</v>
          </cell>
          <cell r="G1340" t="str">
            <v>SCHMAT</v>
          </cell>
          <cell r="H1340" t="str">
            <v>ID</v>
          </cell>
          <cell r="I1340">
            <v>138437.41999999998</v>
          </cell>
        </row>
        <row r="1341">
          <cell r="A1341" t="str">
            <v>SCHMATJBE</v>
          </cell>
          <cell r="B1341" t="str">
            <v>SCHMAT</v>
          </cell>
          <cell r="C1341" t="str">
            <v>JBE</v>
          </cell>
          <cell r="D1341">
            <v>17798327</v>
          </cell>
          <cell r="F1341" t="str">
            <v>SCHMATJBE</v>
          </cell>
          <cell r="G1341" t="str">
            <v>SCHMAT</v>
          </cell>
          <cell r="H1341" t="str">
            <v>JBE</v>
          </cell>
          <cell r="I1341">
            <v>17798327</v>
          </cell>
        </row>
        <row r="1342">
          <cell r="A1342" t="str">
            <v>SCHMATOR</v>
          </cell>
          <cell r="B1342" t="str">
            <v>SCHMAT</v>
          </cell>
          <cell r="C1342" t="str">
            <v>OR</v>
          </cell>
          <cell r="D1342">
            <v>-6995207.9699999997</v>
          </cell>
          <cell r="F1342" t="str">
            <v>SCHMATOR</v>
          </cell>
          <cell r="G1342" t="str">
            <v>SCHMAT</v>
          </cell>
          <cell r="H1342" t="str">
            <v>OR</v>
          </cell>
          <cell r="I1342">
            <v>-6995207.9699999997</v>
          </cell>
        </row>
        <row r="1343">
          <cell r="A1343" t="str">
            <v>SCHMATOTHER</v>
          </cell>
          <cell r="B1343" t="str">
            <v>SCHMAT</v>
          </cell>
          <cell r="C1343" t="str">
            <v>OTHER</v>
          </cell>
          <cell r="D1343">
            <v>8113243.27999999</v>
          </cell>
          <cell r="F1343" t="str">
            <v>SCHMATOTHER</v>
          </cell>
          <cell r="G1343" t="str">
            <v>SCHMAT</v>
          </cell>
          <cell r="H1343" t="str">
            <v>OTHER</v>
          </cell>
          <cell r="I1343">
            <v>8113243.27999999</v>
          </cell>
        </row>
        <row r="1344">
          <cell r="A1344" t="str">
            <v>SCHMATSCHMDEXP</v>
          </cell>
          <cell r="B1344" t="str">
            <v>SCHMAT</v>
          </cell>
          <cell r="C1344" t="str">
            <v>SCHMDEXP</v>
          </cell>
          <cell r="D1344">
            <v>984007982.39999998</v>
          </cell>
          <cell r="F1344" t="str">
            <v>SCHMATSCHMDEXP</v>
          </cell>
          <cell r="G1344" t="str">
            <v>SCHMAT</v>
          </cell>
          <cell r="H1344" t="str">
            <v>SCHMDEXP</v>
          </cell>
          <cell r="I1344">
            <v>984007982.39999998</v>
          </cell>
        </row>
        <row r="1345">
          <cell r="A1345" t="str">
            <v>SCHMATSE</v>
          </cell>
          <cell r="B1345" t="str">
            <v>SCHMAT</v>
          </cell>
          <cell r="C1345" t="str">
            <v>SE</v>
          </cell>
          <cell r="D1345">
            <v>0</v>
          </cell>
          <cell r="F1345" t="str">
            <v>SCHMATSE</v>
          </cell>
          <cell r="G1345" t="str">
            <v>SCHMAT</v>
          </cell>
          <cell r="H1345" t="str">
            <v>SE</v>
          </cell>
          <cell r="I1345">
            <v>0</v>
          </cell>
        </row>
        <row r="1346">
          <cell r="A1346" t="str">
            <v>SCHMATSG</v>
          </cell>
          <cell r="B1346" t="str">
            <v>SCHMAT</v>
          </cell>
          <cell r="C1346" t="str">
            <v>SG</v>
          </cell>
          <cell r="D1346">
            <v>-466012.4</v>
          </cell>
          <cell r="F1346" t="str">
            <v>SCHMATSG</v>
          </cell>
          <cell r="G1346" t="str">
            <v>SCHMAT</v>
          </cell>
          <cell r="H1346" t="str">
            <v>SG</v>
          </cell>
          <cell r="I1346">
            <v>-466012.4</v>
          </cell>
        </row>
        <row r="1347">
          <cell r="A1347" t="str">
            <v>SCHMATSNP</v>
          </cell>
          <cell r="B1347" t="str">
            <v>SCHMAT</v>
          </cell>
          <cell r="C1347" t="str">
            <v>SNP</v>
          </cell>
          <cell r="D1347">
            <v>41846673.009999998</v>
          </cell>
          <cell r="F1347" t="str">
            <v>SCHMATSNP</v>
          </cell>
          <cell r="G1347" t="str">
            <v>SCHMAT</v>
          </cell>
          <cell r="H1347" t="str">
            <v>SNP</v>
          </cell>
          <cell r="I1347">
            <v>41846673.009999998</v>
          </cell>
        </row>
        <row r="1348">
          <cell r="A1348" t="str">
            <v>SCHMATSNPD</v>
          </cell>
          <cell r="B1348" t="str">
            <v>SCHMAT</v>
          </cell>
          <cell r="C1348" t="str">
            <v>SNPD</v>
          </cell>
          <cell r="D1348">
            <v>2098862.0020988602</v>
          </cell>
          <cell r="F1348" t="str">
            <v>SCHMATSNPD</v>
          </cell>
          <cell r="G1348" t="str">
            <v>SCHMAT</v>
          </cell>
          <cell r="H1348" t="str">
            <v>SNPD</v>
          </cell>
          <cell r="I1348">
            <v>2098862.0020988602</v>
          </cell>
        </row>
        <row r="1349">
          <cell r="A1349" t="str">
            <v>SCHMATSO</v>
          </cell>
          <cell r="B1349" t="str">
            <v>SCHMAT</v>
          </cell>
          <cell r="C1349" t="str">
            <v>SO</v>
          </cell>
          <cell r="D1349">
            <v>1698765.06</v>
          </cell>
          <cell r="F1349" t="str">
            <v>SCHMATSO</v>
          </cell>
          <cell r="G1349" t="str">
            <v>SCHMAT</v>
          </cell>
          <cell r="H1349" t="str">
            <v>SO</v>
          </cell>
          <cell r="I1349">
            <v>1698765.06</v>
          </cell>
        </row>
        <row r="1350">
          <cell r="A1350" t="str">
            <v>SCHMATUT</v>
          </cell>
          <cell r="B1350" t="str">
            <v>SCHMAT</v>
          </cell>
          <cell r="C1350" t="str">
            <v>UT</v>
          </cell>
          <cell r="D1350">
            <v>-291300</v>
          </cell>
          <cell r="F1350" t="str">
            <v>SCHMATUT</v>
          </cell>
          <cell r="G1350" t="str">
            <v>SCHMAT</v>
          </cell>
          <cell r="H1350" t="str">
            <v>UT</v>
          </cell>
          <cell r="I1350">
            <v>-291300</v>
          </cell>
        </row>
        <row r="1351">
          <cell r="A1351" t="str">
            <v>SCHMATWA</v>
          </cell>
          <cell r="B1351" t="str">
            <v>SCHMAT</v>
          </cell>
          <cell r="C1351" t="str">
            <v>WA</v>
          </cell>
          <cell r="D1351">
            <v>11479022.290000001</v>
          </cell>
          <cell r="F1351" t="str">
            <v>SCHMATWA</v>
          </cell>
          <cell r="G1351" t="str">
            <v>SCHMAT</v>
          </cell>
          <cell r="H1351" t="str">
            <v>WA</v>
          </cell>
          <cell r="I1351">
            <v>11479022.290000001</v>
          </cell>
        </row>
        <row r="1352">
          <cell r="A1352" t="str">
            <v>SCHMATWYP</v>
          </cell>
          <cell r="B1352" t="str">
            <v>SCHMAT</v>
          </cell>
          <cell r="C1352" t="str">
            <v>WYP</v>
          </cell>
          <cell r="D1352">
            <v>692110.31</v>
          </cell>
          <cell r="F1352" t="str">
            <v>SCHMATWYP</v>
          </cell>
          <cell r="G1352" t="str">
            <v>SCHMAT</v>
          </cell>
          <cell r="H1352" t="str">
            <v>WYP</v>
          </cell>
          <cell r="I1352">
            <v>692110.31</v>
          </cell>
        </row>
        <row r="1353">
          <cell r="A1353" t="str">
            <v>SCHMATWYU</v>
          </cell>
          <cell r="B1353" t="str">
            <v>SCHMAT</v>
          </cell>
          <cell r="C1353" t="str">
            <v>WYU</v>
          </cell>
          <cell r="D1353">
            <v>22244</v>
          </cell>
          <cell r="F1353" t="str">
            <v>SCHMATWYU</v>
          </cell>
          <cell r="G1353" t="str">
            <v>SCHMAT</v>
          </cell>
          <cell r="H1353" t="str">
            <v>WYU</v>
          </cell>
          <cell r="I1353">
            <v>22244</v>
          </cell>
        </row>
        <row r="1354">
          <cell r="A1354" t="str">
            <v>SCHMDPCA</v>
          </cell>
          <cell r="B1354" t="str">
            <v>SCHMDP</v>
          </cell>
          <cell r="C1354" t="str">
            <v>CA</v>
          </cell>
          <cell r="D1354">
            <v>0</v>
          </cell>
          <cell r="F1354" t="str">
            <v>SCHMDPCA</v>
          </cell>
          <cell r="G1354" t="str">
            <v>SCHMDP</v>
          </cell>
          <cell r="H1354" t="str">
            <v>CA</v>
          </cell>
          <cell r="I1354">
            <v>0</v>
          </cell>
        </row>
        <row r="1355">
          <cell r="A1355" t="str">
            <v>SCHMDPCAEE</v>
          </cell>
          <cell r="B1355" t="str">
            <v>SCHMDP</v>
          </cell>
          <cell r="C1355" t="str">
            <v>CAEE</v>
          </cell>
          <cell r="D1355">
            <v>0</v>
          </cell>
          <cell r="F1355" t="str">
            <v>SCHMDPCAEE</v>
          </cell>
          <cell r="G1355" t="str">
            <v>SCHMDP</v>
          </cell>
          <cell r="H1355" t="str">
            <v>CAEE</v>
          </cell>
          <cell r="I1355">
            <v>0</v>
          </cell>
        </row>
        <row r="1356">
          <cell r="A1356" t="str">
            <v>SCHMDPCAGW</v>
          </cell>
          <cell r="B1356" t="str">
            <v>SCHMDP</v>
          </cell>
          <cell r="C1356" t="str">
            <v>CAGW</v>
          </cell>
          <cell r="D1356">
            <v>0</v>
          </cell>
          <cell r="F1356" t="str">
            <v>SCHMDPCAGW</v>
          </cell>
          <cell r="G1356" t="str">
            <v>SCHMDP</v>
          </cell>
          <cell r="H1356" t="str">
            <v>CAGW</v>
          </cell>
          <cell r="I1356">
            <v>0</v>
          </cell>
        </row>
        <row r="1357">
          <cell r="A1357" t="str">
            <v>SCHMDPJBE</v>
          </cell>
          <cell r="B1357" t="str">
            <v>SCHMDP</v>
          </cell>
          <cell r="C1357" t="str">
            <v>JBE</v>
          </cell>
          <cell r="D1357">
            <v>0</v>
          </cell>
          <cell r="F1357" t="str">
            <v>SCHMDPJBE</v>
          </cell>
          <cell r="G1357" t="str">
            <v>SCHMDP</v>
          </cell>
          <cell r="H1357" t="str">
            <v>JBE</v>
          </cell>
          <cell r="I1357">
            <v>0</v>
          </cell>
        </row>
        <row r="1358">
          <cell r="A1358" t="str">
            <v>SCHMDPSCHMDEXP</v>
          </cell>
          <cell r="B1358" t="str">
            <v>SCHMDP</v>
          </cell>
          <cell r="C1358" t="str">
            <v>SCHMDEXP</v>
          </cell>
          <cell r="D1358">
            <v>-19356.91</v>
          </cell>
          <cell r="F1358" t="str">
            <v>SCHMDPSCHMDEXP</v>
          </cell>
          <cell r="G1358" t="str">
            <v>SCHMDP</v>
          </cell>
          <cell r="H1358" t="str">
            <v>SCHMDEXP</v>
          </cell>
          <cell r="I1358">
            <v>-19356.91</v>
          </cell>
        </row>
        <row r="1359">
          <cell r="A1359" t="str">
            <v>SCHMDPSG</v>
          </cell>
          <cell r="B1359" t="str">
            <v>SCHMDP</v>
          </cell>
          <cell r="C1359" t="str">
            <v>SG</v>
          </cell>
          <cell r="D1359">
            <v>0</v>
          </cell>
          <cell r="F1359" t="str">
            <v>SCHMDPSG</v>
          </cell>
          <cell r="G1359" t="str">
            <v>SCHMDP</v>
          </cell>
          <cell r="H1359" t="str">
            <v>SG</v>
          </cell>
          <cell r="I1359">
            <v>0</v>
          </cell>
        </row>
        <row r="1360">
          <cell r="A1360" t="str">
            <v>SCHMDPSNP</v>
          </cell>
          <cell r="B1360" t="str">
            <v>SCHMDP</v>
          </cell>
          <cell r="C1360" t="str">
            <v>SNP</v>
          </cell>
          <cell r="D1360">
            <v>106610.4</v>
          </cell>
          <cell r="F1360" t="str">
            <v>SCHMDPSNP</v>
          </cell>
          <cell r="G1360" t="str">
            <v>SCHMDP</v>
          </cell>
          <cell r="H1360" t="str">
            <v>SNP</v>
          </cell>
          <cell r="I1360">
            <v>106610.4</v>
          </cell>
        </row>
        <row r="1361">
          <cell r="A1361" t="str">
            <v>SCHMDPSO</v>
          </cell>
          <cell r="B1361" t="str">
            <v>SCHMDP</v>
          </cell>
          <cell r="C1361" t="str">
            <v>SO</v>
          </cell>
          <cell r="D1361">
            <v>0</v>
          </cell>
          <cell r="F1361" t="str">
            <v>SCHMDPSO</v>
          </cell>
          <cell r="G1361" t="str">
            <v>SCHMDP</v>
          </cell>
          <cell r="H1361" t="str">
            <v>SO</v>
          </cell>
          <cell r="I1361">
            <v>0</v>
          </cell>
        </row>
        <row r="1362">
          <cell r="A1362" t="str">
            <v>SCHMDTCA</v>
          </cell>
          <cell r="B1362" t="str">
            <v>SCHMDT</v>
          </cell>
          <cell r="C1362" t="str">
            <v>CA</v>
          </cell>
          <cell r="D1362">
            <v>1982210.43</v>
          </cell>
          <cell r="F1362" t="str">
            <v>SCHMDTCA</v>
          </cell>
          <cell r="G1362" t="str">
            <v>SCHMDT</v>
          </cell>
          <cell r="H1362" t="str">
            <v>CA</v>
          </cell>
          <cell r="I1362">
            <v>1982210.43</v>
          </cell>
        </row>
        <row r="1363">
          <cell r="A1363" t="str">
            <v>SCHMDTCAEE</v>
          </cell>
          <cell r="B1363" t="str">
            <v>SCHMDT</v>
          </cell>
          <cell r="C1363" t="str">
            <v>CAEE</v>
          </cell>
          <cell r="D1363">
            <v>-972443.2</v>
          </cell>
          <cell r="F1363" t="str">
            <v>SCHMDTCAEE</v>
          </cell>
          <cell r="G1363" t="str">
            <v>SCHMDT</v>
          </cell>
          <cell r="H1363" t="str">
            <v>CAEE</v>
          </cell>
          <cell r="I1363">
            <v>-972443.2</v>
          </cell>
        </row>
        <row r="1364">
          <cell r="A1364" t="str">
            <v>SCHMDTCAGE</v>
          </cell>
          <cell r="B1364" t="str">
            <v>SCHMDT</v>
          </cell>
          <cell r="C1364" t="str">
            <v>CAGE</v>
          </cell>
          <cell r="D1364">
            <v>339661.56999999995</v>
          </cell>
          <cell r="F1364" t="str">
            <v>SCHMDTCAGE</v>
          </cell>
          <cell r="G1364" t="str">
            <v>SCHMDT</v>
          </cell>
          <cell r="H1364" t="str">
            <v>CAGE</v>
          </cell>
          <cell r="I1364">
            <v>339661.56999999995</v>
          </cell>
        </row>
        <row r="1365">
          <cell r="A1365" t="str">
            <v>SCHMDTCAGW</v>
          </cell>
          <cell r="B1365" t="str">
            <v>SCHMDT</v>
          </cell>
          <cell r="C1365" t="str">
            <v>CAGW</v>
          </cell>
          <cell r="D1365">
            <v>-124820.5</v>
          </cell>
          <cell r="F1365" t="str">
            <v>SCHMDTCAGW</v>
          </cell>
          <cell r="G1365" t="str">
            <v>SCHMDT</v>
          </cell>
          <cell r="H1365" t="str">
            <v>CAGW</v>
          </cell>
          <cell r="I1365">
            <v>-124820.5</v>
          </cell>
        </row>
        <row r="1366">
          <cell r="A1366" t="str">
            <v>SCHMDTDGP</v>
          </cell>
          <cell r="B1366" t="str">
            <v>SCHMDT</v>
          </cell>
          <cell r="C1366" t="str">
            <v>DGP</v>
          </cell>
          <cell r="D1366">
            <v>0</v>
          </cell>
          <cell r="F1366" t="str">
            <v>SCHMDTDGP</v>
          </cell>
          <cell r="G1366" t="str">
            <v>SCHMDT</v>
          </cell>
          <cell r="H1366" t="str">
            <v>DGP</v>
          </cell>
          <cell r="I1366">
            <v>0</v>
          </cell>
        </row>
        <row r="1367">
          <cell r="A1367" t="str">
            <v>SCHMDTGPS</v>
          </cell>
          <cell r="B1367" t="str">
            <v>SCHMDT</v>
          </cell>
          <cell r="C1367" t="str">
            <v>GPS</v>
          </cell>
          <cell r="D1367">
            <v>68082720.5</v>
          </cell>
          <cell r="F1367" t="str">
            <v>SCHMDTGPS</v>
          </cell>
          <cell r="G1367" t="str">
            <v>SCHMDT</v>
          </cell>
          <cell r="H1367" t="str">
            <v>GPS</v>
          </cell>
          <cell r="I1367">
            <v>68082720.5</v>
          </cell>
        </row>
        <row r="1368">
          <cell r="A1368" t="str">
            <v>SCHMDTID</v>
          </cell>
          <cell r="B1368" t="str">
            <v>SCHMDT</v>
          </cell>
          <cell r="C1368" t="str">
            <v>ID</v>
          </cell>
          <cell r="D1368">
            <v>-624974.68999999994</v>
          </cell>
          <cell r="F1368" t="str">
            <v>SCHMDTID</v>
          </cell>
          <cell r="G1368" t="str">
            <v>SCHMDT</v>
          </cell>
          <cell r="H1368" t="str">
            <v>ID</v>
          </cell>
          <cell r="I1368">
            <v>-624974.68999999994</v>
          </cell>
        </row>
        <row r="1369">
          <cell r="A1369" t="str">
            <v>SCHMDTJBE</v>
          </cell>
          <cell r="B1369" t="str">
            <v>SCHMDT</v>
          </cell>
          <cell r="C1369" t="str">
            <v>JBE</v>
          </cell>
          <cell r="D1369">
            <v>-199146</v>
          </cell>
          <cell r="F1369" t="str">
            <v>SCHMDTJBE</v>
          </cell>
          <cell r="G1369" t="str">
            <v>SCHMDT</v>
          </cell>
          <cell r="H1369" t="str">
            <v>JBE</v>
          </cell>
          <cell r="I1369">
            <v>-199146</v>
          </cell>
        </row>
        <row r="1370">
          <cell r="A1370" t="str">
            <v>SCHMDTOR</v>
          </cell>
          <cell r="B1370" t="str">
            <v>SCHMDT</v>
          </cell>
          <cell r="C1370" t="str">
            <v>OR</v>
          </cell>
          <cell r="D1370">
            <v>-1775469.05</v>
          </cell>
          <cell r="F1370" t="str">
            <v>SCHMDTOR</v>
          </cell>
          <cell r="G1370" t="str">
            <v>SCHMDT</v>
          </cell>
          <cell r="H1370" t="str">
            <v>OR</v>
          </cell>
          <cell r="I1370">
            <v>-1775469.05</v>
          </cell>
        </row>
        <row r="1371">
          <cell r="A1371" t="str">
            <v>SCHMDTOTHER</v>
          </cell>
          <cell r="B1371" t="str">
            <v>SCHMDT</v>
          </cell>
          <cell r="C1371" t="str">
            <v>OTHER</v>
          </cell>
          <cell r="D1371">
            <v>73217335.489999995</v>
          </cell>
          <cell r="F1371" t="str">
            <v>SCHMDTOTHER</v>
          </cell>
          <cell r="G1371" t="str">
            <v>SCHMDT</v>
          </cell>
          <cell r="H1371" t="str">
            <v>OTHER</v>
          </cell>
          <cell r="I1371">
            <v>73217335.489999995</v>
          </cell>
        </row>
        <row r="1372">
          <cell r="A1372" t="str">
            <v>SCHMDTSE</v>
          </cell>
          <cell r="B1372" t="str">
            <v>SCHMDT</v>
          </cell>
          <cell r="C1372" t="str">
            <v>SE</v>
          </cell>
          <cell r="D1372">
            <v>0</v>
          </cell>
          <cell r="F1372" t="str">
            <v>SCHMDTSE</v>
          </cell>
          <cell r="G1372" t="str">
            <v>SCHMDT</v>
          </cell>
          <cell r="H1372" t="str">
            <v>SE</v>
          </cell>
          <cell r="I1372">
            <v>0</v>
          </cell>
        </row>
        <row r="1373">
          <cell r="A1373" t="str">
            <v>SCHMDTSG</v>
          </cell>
          <cell r="B1373" t="str">
            <v>SCHMDT</v>
          </cell>
          <cell r="C1373" t="str">
            <v>SG</v>
          </cell>
          <cell r="D1373">
            <v>145177627.07999998</v>
          </cell>
          <cell r="F1373" t="str">
            <v>SCHMDTSG</v>
          </cell>
          <cell r="G1373" t="str">
            <v>SCHMDT</v>
          </cell>
          <cell r="H1373" t="str">
            <v>SG</v>
          </cell>
          <cell r="I1373">
            <v>145177627.07999998</v>
          </cell>
        </row>
        <row r="1374">
          <cell r="A1374" t="str">
            <v>SCHMDTSNP</v>
          </cell>
          <cell r="B1374" t="str">
            <v>SCHMDT</v>
          </cell>
          <cell r="C1374" t="str">
            <v>SNP</v>
          </cell>
          <cell r="D1374">
            <v>74705322.020000011</v>
          </cell>
          <cell r="F1374" t="str">
            <v>SCHMDTSNP</v>
          </cell>
          <cell r="G1374" t="str">
            <v>SCHMDT</v>
          </cell>
          <cell r="H1374" t="str">
            <v>SNP</v>
          </cell>
          <cell r="I1374">
            <v>74705322.020000011</v>
          </cell>
        </row>
        <row r="1375">
          <cell r="A1375" t="str">
            <v>SCHMDTSNPD</v>
          </cell>
          <cell r="B1375" t="str">
            <v>SCHMDT</v>
          </cell>
          <cell r="C1375" t="str">
            <v>SNPD</v>
          </cell>
          <cell r="D1375">
            <v>1526069.6315260662</v>
          </cell>
          <cell r="F1375" t="str">
            <v>SCHMDTSNPD</v>
          </cell>
          <cell r="G1375" t="str">
            <v>SCHMDT</v>
          </cell>
          <cell r="H1375" t="str">
            <v>SNPD</v>
          </cell>
          <cell r="I1375">
            <v>1526069.6315260662</v>
          </cell>
        </row>
        <row r="1376">
          <cell r="A1376" t="str">
            <v>SCHMDTSO</v>
          </cell>
          <cell r="B1376" t="str">
            <v>SCHMDT</v>
          </cell>
          <cell r="C1376" t="str">
            <v>SO</v>
          </cell>
          <cell r="D1376">
            <v>-3063742.2000000011</v>
          </cell>
          <cell r="F1376" t="str">
            <v>SCHMDTSO</v>
          </cell>
          <cell r="G1376" t="str">
            <v>SCHMDT</v>
          </cell>
          <cell r="H1376" t="str">
            <v>SO</v>
          </cell>
          <cell r="I1376">
            <v>-3063742.2000000011</v>
          </cell>
        </row>
        <row r="1377">
          <cell r="A1377" t="str">
            <v>SCHMDTTAXDEPR</v>
          </cell>
          <cell r="B1377" t="str">
            <v>SCHMDT</v>
          </cell>
          <cell r="C1377" t="str">
            <v>TAXDEPR</v>
          </cell>
          <cell r="D1377">
            <v>590717641</v>
          </cell>
          <cell r="F1377" t="str">
            <v>SCHMDTTAXDEPR</v>
          </cell>
          <cell r="G1377" t="str">
            <v>SCHMDT</v>
          </cell>
          <cell r="H1377" t="str">
            <v>TAXDEPR</v>
          </cell>
          <cell r="I1377">
            <v>590717641</v>
          </cell>
        </row>
        <row r="1378">
          <cell r="A1378" t="str">
            <v>SCHMDTTROJD</v>
          </cell>
          <cell r="B1378" t="str">
            <v>SCHMDT</v>
          </cell>
          <cell r="C1378" t="str">
            <v>TROJD</v>
          </cell>
          <cell r="D1378">
            <v>0</v>
          </cell>
          <cell r="F1378" t="str">
            <v>SCHMDTTROJD</v>
          </cell>
          <cell r="G1378" t="str">
            <v>SCHMDT</v>
          </cell>
          <cell r="H1378" t="str">
            <v>TROJD</v>
          </cell>
          <cell r="I1378">
            <v>0</v>
          </cell>
        </row>
        <row r="1379">
          <cell r="A1379" t="str">
            <v>SCHMDTUT</v>
          </cell>
          <cell r="B1379" t="str">
            <v>SCHMDT</v>
          </cell>
          <cell r="C1379" t="str">
            <v>UT</v>
          </cell>
          <cell r="D1379">
            <v>-547650.46000000066</v>
          </cell>
          <cell r="F1379" t="str">
            <v>SCHMDTUT</v>
          </cell>
          <cell r="G1379" t="str">
            <v>SCHMDT</v>
          </cell>
          <cell r="H1379" t="str">
            <v>UT</v>
          </cell>
          <cell r="I1379">
            <v>-547650.46000000066</v>
          </cell>
        </row>
        <row r="1380">
          <cell r="A1380" t="str">
            <v>SCHMDTWA</v>
          </cell>
          <cell r="B1380" t="str">
            <v>SCHMDT</v>
          </cell>
          <cell r="C1380" t="str">
            <v>WA</v>
          </cell>
          <cell r="D1380">
            <v>0</v>
          </cell>
          <cell r="F1380" t="str">
            <v>SCHMDTWA</v>
          </cell>
          <cell r="G1380" t="str">
            <v>SCHMDT</v>
          </cell>
          <cell r="H1380" t="str">
            <v>WA</v>
          </cell>
          <cell r="I1380">
            <v>0</v>
          </cell>
        </row>
        <row r="1381">
          <cell r="A1381" t="str">
            <v>SCHMDTWYP</v>
          </cell>
          <cell r="B1381" t="str">
            <v>SCHMDT</v>
          </cell>
          <cell r="C1381" t="str">
            <v>WYP</v>
          </cell>
          <cell r="D1381">
            <v>-630036.34</v>
          </cell>
          <cell r="F1381" t="str">
            <v>SCHMDTWYP</v>
          </cell>
          <cell r="G1381" t="str">
            <v>SCHMDT</v>
          </cell>
          <cell r="H1381" t="str">
            <v>WYP</v>
          </cell>
          <cell r="I1381">
            <v>-630036.34</v>
          </cell>
        </row>
        <row r="1382">
          <cell r="A1382" t="str">
            <v>SCHMDTWYU</v>
          </cell>
          <cell r="B1382" t="str">
            <v>SCHMDT</v>
          </cell>
          <cell r="C1382" t="str">
            <v>WYU</v>
          </cell>
          <cell r="D1382">
            <v>0</v>
          </cell>
          <cell r="F1382" t="str">
            <v>SCHMDTWYU</v>
          </cell>
          <cell r="G1382" t="str">
            <v>SCHMDT</v>
          </cell>
          <cell r="H1382" t="str">
            <v>WYU</v>
          </cell>
          <cell r="I1382">
            <v>0</v>
          </cell>
        </row>
        <row r="1383">
          <cell r="A1383" t="str">
            <v>41010CA</v>
          </cell>
          <cell r="B1383" t="str">
            <v>41010</v>
          </cell>
          <cell r="C1383" t="str">
            <v>CA</v>
          </cell>
          <cell r="D1383">
            <v>487358</v>
          </cell>
          <cell r="F1383" t="str">
            <v>41010CA</v>
          </cell>
          <cell r="G1383" t="str">
            <v>41010</v>
          </cell>
          <cell r="H1383" t="str">
            <v>CA</v>
          </cell>
          <cell r="I1383">
            <v>487358</v>
          </cell>
        </row>
        <row r="1384">
          <cell r="A1384" t="str">
            <v>41010CAEE</v>
          </cell>
          <cell r="B1384" t="str">
            <v>41010</v>
          </cell>
          <cell r="C1384" t="str">
            <v>CAEE</v>
          </cell>
          <cell r="D1384">
            <v>-239092</v>
          </cell>
          <cell r="F1384" t="str">
            <v>41010CAEE</v>
          </cell>
          <cell r="G1384" t="str">
            <v>41010</v>
          </cell>
          <cell r="H1384" t="str">
            <v>CAEE</v>
          </cell>
          <cell r="I1384">
            <v>-239092</v>
          </cell>
        </row>
        <row r="1385">
          <cell r="A1385" t="str">
            <v>41010CAEW</v>
          </cell>
          <cell r="B1385" t="str">
            <v>41010</v>
          </cell>
          <cell r="C1385" t="str">
            <v>CAEW</v>
          </cell>
          <cell r="D1385">
            <v>0</v>
          </cell>
          <cell r="F1385" t="str">
            <v>41010CAEW</v>
          </cell>
          <cell r="G1385" t="str">
            <v>41010</v>
          </cell>
          <cell r="H1385" t="str">
            <v>CAEW</v>
          </cell>
          <cell r="I1385">
            <v>0</v>
          </cell>
        </row>
        <row r="1386">
          <cell r="A1386" t="str">
            <v>41010CAGE</v>
          </cell>
          <cell r="B1386" t="str">
            <v>41010</v>
          </cell>
          <cell r="C1386" t="str">
            <v>CAGE</v>
          </cell>
          <cell r="D1386">
            <v>83512</v>
          </cell>
          <cell r="F1386" t="str">
            <v>41010CAGE</v>
          </cell>
          <cell r="G1386" t="str">
            <v>41010</v>
          </cell>
          <cell r="H1386" t="str">
            <v>CAGE</v>
          </cell>
          <cell r="I1386">
            <v>83512</v>
          </cell>
        </row>
        <row r="1387">
          <cell r="A1387" t="str">
            <v>41010CAGW</v>
          </cell>
          <cell r="B1387" t="str">
            <v>41010</v>
          </cell>
          <cell r="C1387" t="str">
            <v>CAGW</v>
          </cell>
          <cell r="D1387">
            <v>-30689</v>
          </cell>
          <cell r="F1387" t="str">
            <v>41010CAGW</v>
          </cell>
          <cell r="G1387" t="str">
            <v>41010</v>
          </cell>
          <cell r="H1387" t="str">
            <v>CAGW</v>
          </cell>
          <cell r="I1387">
            <v>-30689</v>
          </cell>
        </row>
        <row r="1388">
          <cell r="A1388" t="str">
            <v>41010GPS</v>
          </cell>
          <cell r="B1388" t="str">
            <v>41010</v>
          </cell>
          <cell r="C1388" t="str">
            <v>GPS</v>
          </cell>
          <cell r="D1388">
            <v>16739227</v>
          </cell>
          <cell r="F1388" t="str">
            <v>41010GPS</v>
          </cell>
          <cell r="G1388" t="str">
            <v>41010</v>
          </cell>
          <cell r="H1388" t="str">
            <v>GPS</v>
          </cell>
          <cell r="I1388">
            <v>16739227</v>
          </cell>
        </row>
        <row r="1389">
          <cell r="A1389" t="str">
            <v>41010ID</v>
          </cell>
          <cell r="B1389" t="str">
            <v>41010</v>
          </cell>
          <cell r="C1389" t="str">
            <v>ID</v>
          </cell>
          <cell r="D1389">
            <v>-153658</v>
          </cell>
          <cell r="F1389" t="str">
            <v>41010ID</v>
          </cell>
          <cell r="G1389" t="str">
            <v>41010</v>
          </cell>
          <cell r="H1389" t="str">
            <v>ID</v>
          </cell>
          <cell r="I1389">
            <v>-153658</v>
          </cell>
        </row>
        <row r="1390">
          <cell r="A1390" t="str">
            <v>41010JBE</v>
          </cell>
          <cell r="B1390" t="str">
            <v>41010</v>
          </cell>
          <cell r="C1390" t="str">
            <v>JBE</v>
          </cell>
          <cell r="D1390">
            <v>-48962</v>
          </cell>
          <cell r="F1390" t="str">
            <v>41010JBE</v>
          </cell>
          <cell r="G1390" t="str">
            <v>41010</v>
          </cell>
          <cell r="H1390" t="str">
            <v>JBE</v>
          </cell>
          <cell r="I1390">
            <v>-48962</v>
          </cell>
        </row>
        <row r="1391">
          <cell r="A1391" t="str">
            <v>41010OR</v>
          </cell>
          <cell r="B1391" t="str">
            <v>41010</v>
          </cell>
          <cell r="C1391" t="str">
            <v>OR</v>
          </cell>
          <cell r="D1391">
            <v>-436528</v>
          </cell>
          <cell r="F1391" t="str">
            <v>41010OR</v>
          </cell>
          <cell r="G1391" t="str">
            <v>41010</v>
          </cell>
          <cell r="H1391" t="str">
            <v>OR</v>
          </cell>
          <cell r="I1391">
            <v>-436528</v>
          </cell>
        </row>
        <row r="1392">
          <cell r="A1392" t="str">
            <v>41010OTHER</v>
          </cell>
          <cell r="B1392" t="str">
            <v>41010</v>
          </cell>
          <cell r="C1392" t="str">
            <v>OTHER</v>
          </cell>
          <cell r="D1392">
            <v>18001654</v>
          </cell>
          <cell r="F1392" t="str">
            <v>41010OTHER</v>
          </cell>
          <cell r="G1392" t="str">
            <v>41010</v>
          </cell>
          <cell r="H1392" t="str">
            <v>OTHER</v>
          </cell>
          <cell r="I1392">
            <v>18001654</v>
          </cell>
        </row>
        <row r="1393">
          <cell r="A1393" t="str">
            <v>41010SE</v>
          </cell>
          <cell r="B1393" t="str">
            <v>41010</v>
          </cell>
          <cell r="C1393" t="str">
            <v>SE</v>
          </cell>
          <cell r="D1393">
            <v>0</v>
          </cell>
          <cell r="F1393" t="str">
            <v>41010SE</v>
          </cell>
          <cell r="G1393" t="str">
            <v>41010</v>
          </cell>
          <cell r="H1393" t="str">
            <v>SE</v>
          </cell>
          <cell r="I1393">
            <v>0</v>
          </cell>
        </row>
        <row r="1394">
          <cell r="A1394" t="str">
            <v>41010SG</v>
          </cell>
          <cell r="B1394" t="str">
            <v>41010</v>
          </cell>
          <cell r="C1394" t="str">
            <v>SG</v>
          </cell>
          <cell r="D1394">
            <v>35694242</v>
          </cell>
          <cell r="F1394" t="str">
            <v>41010SG</v>
          </cell>
          <cell r="G1394" t="str">
            <v>41010</v>
          </cell>
          <cell r="H1394" t="str">
            <v>SG</v>
          </cell>
          <cell r="I1394">
            <v>35694242</v>
          </cell>
        </row>
        <row r="1395">
          <cell r="A1395" t="str">
            <v>41010SNP</v>
          </cell>
          <cell r="B1395" t="str">
            <v>41010</v>
          </cell>
          <cell r="C1395" t="str">
            <v>SNP</v>
          </cell>
          <cell r="D1395">
            <v>18367499</v>
          </cell>
          <cell r="F1395" t="str">
            <v>41010SNP</v>
          </cell>
          <cell r="G1395" t="str">
            <v>41010</v>
          </cell>
          <cell r="H1395" t="str">
            <v>SNP</v>
          </cell>
          <cell r="I1395">
            <v>18367499</v>
          </cell>
        </row>
        <row r="1396">
          <cell r="A1396" t="str">
            <v>41010SNPD</v>
          </cell>
          <cell r="B1396" t="str">
            <v>41010</v>
          </cell>
          <cell r="C1396" t="str">
            <v>SNPD</v>
          </cell>
          <cell r="D1396">
            <v>375210.00037521002</v>
          </cell>
          <cell r="F1396" t="str">
            <v>41010SNPD</v>
          </cell>
          <cell r="G1396" t="str">
            <v>41010</v>
          </cell>
          <cell r="H1396" t="str">
            <v>SNPD</v>
          </cell>
          <cell r="I1396">
            <v>375210.00037521002</v>
          </cell>
        </row>
        <row r="1397">
          <cell r="A1397" t="str">
            <v>41010SO</v>
          </cell>
          <cell r="B1397" t="str">
            <v>41010</v>
          </cell>
          <cell r="C1397" t="str">
            <v>SO</v>
          </cell>
          <cell r="D1397">
            <v>-753267</v>
          </cell>
          <cell r="F1397" t="str">
            <v>41010SO</v>
          </cell>
          <cell r="G1397" t="str">
            <v>41010</v>
          </cell>
          <cell r="H1397" t="str">
            <v>SO</v>
          </cell>
          <cell r="I1397">
            <v>-753267</v>
          </cell>
        </row>
        <row r="1398">
          <cell r="A1398" t="str">
            <v>41010TAXDEPR</v>
          </cell>
          <cell r="B1398" t="str">
            <v>41010</v>
          </cell>
          <cell r="C1398" t="str">
            <v>TAXDEPR</v>
          </cell>
          <cell r="D1398">
            <v>145237384</v>
          </cell>
          <cell r="F1398" t="str">
            <v>41010TAXDEPR</v>
          </cell>
          <cell r="G1398" t="str">
            <v>41010</v>
          </cell>
          <cell r="H1398" t="str">
            <v>TAXDEPR</v>
          </cell>
          <cell r="I1398">
            <v>145237384</v>
          </cell>
        </row>
        <row r="1399">
          <cell r="A1399" t="str">
            <v>41010UT</v>
          </cell>
          <cell r="B1399" t="str">
            <v>41010</v>
          </cell>
          <cell r="C1399" t="str">
            <v>UT</v>
          </cell>
          <cell r="D1399">
            <v>-134645</v>
          </cell>
          <cell r="F1399" t="str">
            <v>41010UT</v>
          </cell>
          <cell r="G1399" t="str">
            <v>41010</v>
          </cell>
          <cell r="H1399" t="str">
            <v>UT</v>
          </cell>
          <cell r="I1399">
            <v>-134645</v>
          </cell>
        </row>
        <row r="1400">
          <cell r="A1400" t="str">
            <v>41010WA</v>
          </cell>
          <cell r="B1400" t="str">
            <v>41010</v>
          </cell>
          <cell r="C1400" t="str">
            <v>WA</v>
          </cell>
          <cell r="D1400">
            <v>0</v>
          </cell>
          <cell r="F1400" t="str">
            <v>41010WA</v>
          </cell>
          <cell r="G1400" t="str">
            <v>41010</v>
          </cell>
          <cell r="H1400" t="str">
            <v>WA</v>
          </cell>
          <cell r="I1400">
            <v>0</v>
          </cell>
        </row>
        <row r="1401">
          <cell r="A1401" t="str">
            <v>41010WYP</v>
          </cell>
          <cell r="B1401" t="str">
            <v>41010</v>
          </cell>
          <cell r="C1401" t="str">
            <v>WYP</v>
          </cell>
          <cell r="D1401">
            <v>-154906</v>
          </cell>
          <cell r="F1401" t="str">
            <v>41010WYP</v>
          </cell>
          <cell r="G1401" t="str">
            <v>41010</v>
          </cell>
          <cell r="H1401" t="str">
            <v>WYP</v>
          </cell>
          <cell r="I1401">
            <v>-154906</v>
          </cell>
        </row>
        <row r="1402">
          <cell r="A1402" t="str">
            <v>41010WYU</v>
          </cell>
          <cell r="B1402" t="str">
            <v>41010</v>
          </cell>
          <cell r="C1402" t="str">
            <v>WYU</v>
          </cell>
          <cell r="D1402">
            <v>0</v>
          </cell>
          <cell r="F1402" t="str">
            <v>41010WYU</v>
          </cell>
          <cell r="G1402" t="str">
            <v>41010</v>
          </cell>
          <cell r="H1402" t="str">
            <v>WYU</v>
          </cell>
          <cell r="I1402">
            <v>0</v>
          </cell>
        </row>
        <row r="1403">
          <cell r="A1403" t="str">
            <v>41110BADDEBT</v>
          </cell>
          <cell r="B1403" t="str">
            <v>41110</v>
          </cell>
          <cell r="C1403" t="str">
            <v>BADDEBT</v>
          </cell>
          <cell r="D1403">
            <v>-97689</v>
          </cell>
          <cell r="F1403" t="str">
            <v>41110BADDEBT</v>
          </cell>
          <cell r="G1403" t="str">
            <v>41110</v>
          </cell>
          <cell r="H1403" t="str">
            <v>BADDEBT</v>
          </cell>
          <cell r="I1403">
            <v>-97689</v>
          </cell>
        </row>
        <row r="1404">
          <cell r="A1404" t="str">
            <v>41110CA</v>
          </cell>
          <cell r="B1404" t="str">
            <v>41110</v>
          </cell>
          <cell r="C1404" t="str">
            <v>CA</v>
          </cell>
          <cell r="D1404">
            <v>-117772.31</v>
          </cell>
          <cell r="F1404" t="str">
            <v>41110CA</v>
          </cell>
          <cell r="G1404" t="str">
            <v>41110</v>
          </cell>
          <cell r="H1404" t="str">
            <v>CA</v>
          </cell>
          <cell r="I1404">
            <v>-117772.31</v>
          </cell>
        </row>
        <row r="1405">
          <cell r="A1405" t="str">
            <v>41110CAEE</v>
          </cell>
          <cell r="B1405" t="str">
            <v>41110</v>
          </cell>
          <cell r="C1405" t="str">
            <v>CAEE</v>
          </cell>
          <cell r="D1405">
            <v>-4291166</v>
          </cell>
          <cell r="F1405" t="str">
            <v>41110CAEE</v>
          </cell>
          <cell r="G1405" t="str">
            <v>41110</v>
          </cell>
          <cell r="H1405" t="str">
            <v>CAEE</v>
          </cell>
          <cell r="I1405">
            <v>-4291166</v>
          </cell>
        </row>
        <row r="1406">
          <cell r="A1406" t="str">
            <v>41110CAGE</v>
          </cell>
          <cell r="B1406" t="str">
            <v>41110</v>
          </cell>
          <cell r="C1406" t="str">
            <v>CAGE</v>
          </cell>
          <cell r="D1406">
            <v>-348307</v>
          </cell>
          <cell r="F1406" t="str">
            <v>41110CAGE</v>
          </cell>
          <cell r="G1406" t="str">
            <v>41110</v>
          </cell>
          <cell r="H1406" t="str">
            <v>CAGE</v>
          </cell>
          <cell r="I1406">
            <v>-348307</v>
          </cell>
        </row>
        <row r="1407">
          <cell r="A1407" t="str">
            <v>41110CAGW</v>
          </cell>
          <cell r="B1407" t="str">
            <v>41110</v>
          </cell>
          <cell r="C1407" t="str">
            <v>CAGW</v>
          </cell>
          <cell r="D1407">
            <v>-10103</v>
          </cell>
          <cell r="F1407" t="str">
            <v>41110CAGW</v>
          </cell>
          <cell r="G1407" t="str">
            <v>41110</v>
          </cell>
          <cell r="H1407" t="str">
            <v>CAGW</v>
          </cell>
          <cell r="I1407">
            <v>-10103</v>
          </cell>
        </row>
        <row r="1408">
          <cell r="A1408" t="str">
            <v>41110CIAC</v>
          </cell>
          <cell r="B1408" t="str">
            <v>41110</v>
          </cell>
          <cell r="C1408" t="str">
            <v>CIAC</v>
          </cell>
          <cell r="D1408">
            <v>-25324501.025324497</v>
          </cell>
          <cell r="F1408" t="str">
            <v>41110CIAC</v>
          </cell>
          <cell r="G1408" t="str">
            <v>41110</v>
          </cell>
          <cell r="H1408" t="str">
            <v>CIAC</v>
          </cell>
          <cell r="I1408">
            <v>-25324501.025324497</v>
          </cell>
        </row>
        <row r="1409">
          <cell r="A1409" t="str">
            <v>41110FERC</v>
          </cell>
          <cell r="B1409" t="str">
            <v>41110</v>
          </cell>
          <cell r="C1409" t="str">
            <v>FERC</v>
          </cell>
          <cell r="D1409">
            <v>-250508</v>
          </cell>
          <cell r="F1409" t="str">
            <v>41110FERC</v>
          </cell>
          <cell r="G1409" t="str">
            <v>41110</v>
          </cell>
          <cell r="H1409" t="str">
            <v>FERC</v>
          </cell>
          <cell r="I1409">
            <v>-250508</v>
          </cell>
        </row>
        <row r="1410">
          <cell r="A1410" t="str">
            <v>41110GPS</v>
          </cell>
          <cell r="B1410" t="str">
            <v>41110</v>
          </cell>
          <cell r="C1410" t="str">
            <v>GPS</v>
          </cell>
          <cell r="D1410">
            <v>145317</v>
          </cell>
          <cell r="F1410" t="str">
            <v>41110GPS</v>
          </cell>
          <cell r="G1410" t="str">
            <v>41110</v>
          </cell>
          <cell r="H1410" t="str">
            <v>GPS</v>
          </cell>
          <cell r="I1410">
            <v>145317</v>
          </cell>
        </row>
        <row r="1411">
          <cell r="A1411" t="str">
            <v>41110ID</v>
          </cell>
          <cell r="B1411" t="str">
            <v>41110</v>
          </cell>
          <cell r="C1411" t="str">
            <v>ID</v>
          </cell>
          <cell r="D1411">
            <v>-640684</v>
          </cell>
          <cell r="F1411" t="str">
            <v>41110ID</v>
          </cell>
          <cell r="G1411" t="str">
            <v>41110</v>
          </cell>
          <cell r="H1411" t="str">
            <v>ID</v>
          </cell>
          <cell r="I1411">
            <v>-640684</v>
          </cell>
        </row>
        <row r="1412">
          <cell r="A1412" t="str">
            <v>41110JBE</v>
          </cell>
          <cell r="B1412" t="str">
            <v>41110</v>
          </cell>
          <cell r="C1412" t="str">
            <v>JBE</v>
          </cell>
          <cell r="D1412">
            <v>-4376003</v>
          </cell>
          <cell r="F1412" t="str">
            <v>41110JBE</v>
          </cell>
          <cell r="G1412" t="str">
            <v>41110</v>
          </cell>
          <cell r="H1412" t="str">
            <v>JBE</v>
          </cell>
          <cell r="I1412">
            <v>-4376003</v>
          </cell>
        </row>
        <row r="1413">
          <cell r="A1413" t="str">
            <v>41110OR</v>
          </cell>
          <cell r="B1413" t="str">
            <v>41110</v>
          </cell>
          <cell r="C1413" t="str">
            <v>OR</v>
          </cell>
          <cell r="D1413">
            <v>824154.91000000015</v>
          </cell>
          <cell r="F1413" t="str">
            <v>41110OR</v>
          </cell>
          <cell r="G1413" t="str">
            <v>41110</v>
          </cell>
          <cell r="H1413" t="str">
            <v>OR</v>
          </cell>
          <cell r="I1413">
            <v>824154.91000000015</v>
          </cell>
        </row>
        <row r="1414">
          <cell r="A1414" t="str">
            <v>41110OTHER</v>
          </cell>
          <cell r="B1414" t="str">
            <v>41110</v>
          </cell>
          <cell r="C1414" t="str">
            <v>OTHER</v>
          </cell>
          <cell r="D1414">
            <v>-1672277</v>
          </cell>
          <cell r="F1414" t="str">
            <v>41110OTHER</v>
          </cell>
          <cell r="G1414" t="str">
            <v>41110</v>
          </cell>
          <cell r="H1414" t="str">
            <v>OTHER</v>
          </cell>
          <cell r="I1414">
            <v>-1672277</v>
          </cell>
        </row>
        <row r="1415">
          <cell r="A1415" t="str">
            <v>41110SCHMDEXP</v>
          </cell>
          <cell r="B1415" t="str">
            <v>41110</v>
          </cell>
          <cell r="C1415" t="str">
            <v>SCHMDEXP</v>
          </cell>
          <cell r="D1415">
            <v>-241934106</v>
          </cell>
          <cell r="F1415" t="str">
            <v>41110SCHMDEXP</v>
          </cell>
          <cell r="G1415" t="str">
            <v>41110</v>
          </cell>
          <cell r="H1415" t="str">
            <v>SCHMDEXP</v>
          </cell>
          <cell r="I1415">
            <v>-241934106</v>
          </cell>
        </row>
        <row r="1416">
          <cell r="A1416" t="str">
            <v>41110SG</v>
          </cell>
          <cell r="B1416" t="str">
            <v>41110</v>
          </cell>
          <cell r="C1416" t="str">
            <v>SG</v>
          </cell>
          <cell r="D1416">
            <v>114577</v>
          </cell>
          <cell r="F1416" t="str">
            <v>41110SG</v>
          </cell>
          <cell r="G1416" t="str">
            <v>41110</v>
          </cell>
          <cell r="H1416" t="str">
            <v>SG</v>
          </cell>
          <cell r="I1416">
            <v>114577</v>
          </cell>
        </row>
        <row r="1417">
          <cell r="A1417" t="str">
            <v>41110SNP</v>
          </cell>
          <cell r="B1417" t="str">
            <v>41110</v>
          </cell>
          <cell r="C1417" t="str">
            <v>SNP</v>
          </cell>
          <cell r="D1417">
            <v>-10288673</v>
          </cell>
          <cell r="F1417" t="str">
            <v>41110SNP</v>
          </cell>
          <cell r="G1417" t="str">
            <v>41110</v>
          </cell>
          <cell r="H1417" t="str">
            <v>SNP</v>
          </cell>
          <cell r="I1417">
            <v>-10288673</v>
          </cell>
        </row>
        <row r="1418">
          <cell r="A1418" t="str">
            <v>41110SNPD</v>
          </cell>
          <cell r="B1418" t="str">
            <v>41110</v>
          </cell>
          <cell r="C1418" t="str">
            <v>SNPD</v>
          </cell>
          <cell r="D1418">
            <v>-516039.00051603897</v>
          </cell>
          <cell r="F1418" t="str">
            <v>41110SNPD</v>
          </cell>
          <cell r="G1418" t="str">
            <v>41110</v>
          </cell>
          <cell r="H1418" t="str">
            <v>SNPD</v>
          </cell>
          <cell r="I1418">
            <v>-516039.00051603897</v>
          </cell>
        </row>
        <row r="1419">
          <cell r="A1419" t="str">
            <v>41110SO</v>
          </cell>
          <cell r="B1419" t="str">
            <v>41110</v>
          </cell>
          <cell r="C1419" t="str">
            <v>SO</v>
          </cell>
          <cell r="D1419">
            <v>-417668</v>
          </cell>
          <cell r="F1419" t="str">
            <v>41110SO</v>
          </cell>
          <cell r="G1419" t="str">
            <v>41110</v>
          </cell>
          <cell r="H1419" t="str">
            <v>SO</v>
          </cell>
          <cell r="I1419">
            <v>-417668</v>
          </cell>
        </row>
        <row r="1420">
          <cell r="A1420" t="str">
            <v>41110UT</v>
          </cell>
          <cell r="B1420" t="str">
            <v>41110</v>
          </cell>
          <cell r="C1420" t="str">
            <v>UT</v>
          </cell>
          <cell r="D1420">
            <v>-125854466.76000001</v>
          </cell>
          <cell r="F1420" t="str">
            <v>41110UT</v>
          </cell>
          <cell r="G1420" t="str">
            <v>41110</v>
          </cell>
          <cell r="H1420" t="str">
            <v>UT</v>
          </cell>
          <cell r="I1420">
            <v>-125854466.76000001</v>
          </cell>
        </row>
        <row r="1421">
          <cell r="A1421" t="str">
            <v>41110WA</v>
          </cell>
          <cell r="B1421" t="str">
            <v>41110</v>
          </cell>
          <cell r="C1421" t="str">
            <v>WA</v>
          </cell>
          <cell r="D1421">
            <v>-1768467.6</v>
          </cell>
          <cell r="F1421" t="str">
            <v>41110WA</v>
          </cell>
          <cell r="G1421" t="str">
            <v>41110</v>
          </cell>
          <cell r="H1421" t="str">
            <v>WA</v>
          </cell>
          <cell r="I1421">
            <v>-1768467.6</v>
          </cell>
        </row>
        <row r="1422">
          <cell r="A1422" t="str">
            <v>41110WYP</v>
          </cell>
          <cell r="B1422" t="str">
            <v>41110</v>
          </cell>
          <cell r="C1422" t="str">
            <v>WYP</v>
          </cell>
          <cell r="D1422">
            <v>-3922741</v>
          </cell>
          <cell r="F1422" t="str">
            <v>41110WYP</v>
          </cell>
          <cell r="G1422" t="str">
            <v>41110</v>
          </cell>
          <cell r="H1422" t="str">
            <v>WYP</v>
          </cell>
          <cell r="I1422">
            <v>-3922741</v>
          </cell>
        </row>
        <row r="1423">
          <cell r="A1423" t="str">
            <v>41110WYU</v>
          </cell>
          <cell r="B1423" t="str">
            <v>41110</v>
          </cell>
          <cell r="C1423" t="str">
            <v>WYU</v>
          </cell>
          <cell r="D1423">
            <v>3371702.56</v>
          </cell>
          <cell r="F1423" t="str">
            <v>41110WYU</v>
          </cell>
          <cell r="G1423" t="str">
            <v>41110</v>
          </cell>
          <cell r="H1423" t="str">
            <v>WYU</v>
          </cell>
          <cell r="I1423">
            <v>3371702.56</v>
          </cell>
        </row>
        <row r="1424">
          <cell r="A1424" t="str">
            <v>447NPCCAGW</v>
          </cell>
          <cell r="B1424" t="str">
            <v>447NPC</v>
          </cell>
          <cell r="C1424" t="str">
            <v>CAGW</v>
          </cell>
          <cell r="D1424">
            <v>78875721.420198083</v>
          </cell>
          <cell r="F1424" t="str">
            <v>447NPCCAGW</v>
          </cell>
          <cell r="G1424" t="str">
            <v>447NPC</v>
          </cell>
          <cell r="H1424" t="str">
            <v>CAGW</v>
          </cell>
          <cell r="I1424">
            <v>78875721.420198083</v>
          </cell>
        </row>
        <row r="1425">
          <cell r="A1425" t="str">
            <v>555NPCCAEW</v>
          </cell>
          <cell r="B1425" t="str">
            <v>555NPC</v>
          </cell>
          <cell r="C1425" t="str">
            <v>CAEW</v>
          </cell>
          <cell r="D1425">
            <v>1051205.3136943881</v>
          </cell>
          <cell r="F1425" t="str">
            <v>555NPCCAEW</v>
          </cell>
          <cell r="G1425" t="str">
            <v>555NPC</v>
          </cell>
          <cell r="H1425" t="str">
            <v>CAEW</v>
          </cell>
          <cell r="I1425">
            <v>1051205.3136943881</v>
          </cell>
        </row>
        <row r="1426">
          <cell r="A1426" t="str">
            <v>555NPCWA</v>
          </cell>
          <cell r="B1426" t="str">
            <v>555NPC</v>
          </cell>
          <cell r="C1426" t="str">
            <v>WA</v>
          </cell>
          <cell r="D1426">
            <v>215591.50000000006</v>
          </cell>
          <cell r="F1426" t="str">
            <v>555NPCWA</v>
          </cell>
          <cell r="G1426" t="str">
            <v>555NPC</v>
          </cell>
          <cell r="H1426" t="str">
            <v>WA</v>
          </cell>
          <cell r="I1426">
            <v>215591.50000000006</v>
          </cell>
        </row>
        <row r="1427">
          <cell r="A1427" t="str">
            <v>555NPCCAGW</v>
          </cell>
          <cell r="B1427" t="str">
            <v>555NPC</v>
          </cell>
          <cell r="C1427" t="str">
            <v>CAGW</v>
          </cell>
          <cell r="D1427">
            <v>192672006.78119507</v>
          </cell>
          <cell r="F1427" t="str">
            <v>555NPCCAGW</v>
          </cell>
          <cell r="G1427" t="str">
            <v>555NPC</v>
          </cell>
          <cell r="H1427" t="str">
            <v>CAGW</v>
          </cell>
          <cell r="I1427">
            <v>192672006.78119507</v>
          </cell>
        </row>
        <row r="1428">
          <cell r="A1428" t="str">
            <v>565NPCCAGW</v>
          </cell>
          <cell r="B1428" t="str">
            <v>565NPC</v>
          </cell>
          <cell r="C1428" t="str">
            <v>CAGW</v>
          </cell>
          <cell r="D1428">
            <v>124485682.73952</v>
          </cell>
          <cell r="F1428" t="str">
            <v>565NPCCAGW</v>
          </cell>
          <cell r="G1428" t="str">
            <v>565NPC</v>
          </cell>
          <cell r="H1428" t="str">
            <v>CAGW</v>
          </cell>
          <cell r="I1428">
            <v>124485682.73952</v>
          </cell>
        </row>
        <row r="1429">
          <cell r="A1429" t="str">
            <v>501NPCCAEW</v>
          </cell>
          <cell r="B1429" t="str">
            <v>501NPC</v>
          </cell>
          <cell r="C1429" t="str">
            <v>CAEW</v>
          </cell>
          <cell r="D1429">
            <v>245722226.08865565</v>
          </cell>
          <cell r="F1429" t="str">
            <v>501NPCCAEW</v>
          </cell>
          <cell r="G1429" t="str">
            <v>501NPC</v>
          </cell>
          <cell r="H1429" t="str">
            <v>CAEW</v>
          </cell>
          <cell r="I1429">
            <v>245722226.08865565</v>
          </cell>
        </row>
        <row r="1430">
          <cell r="A1430" t="str">
            <v>547NPCCAEW</v>
          </cell>
          <cell r="B1430" t="str">
            <v>547NPC</v>
          </cell>
          <cell r="C1430" t="str">
            <v>CAEW</v>
          </cell>
          <cell r="D1430">
            <v>60748148.099999994</v>
          </cell>
          <cell r="F1430" t="str">
            <v>547NPCCAEW</v>
          </cell>
          <cell r="G1430" t="str">
            <v>547NPC</v>
          </cell>
          <cell r="H1430" t="str">
            <v>CAEW</v>
          </cell>
          <cell r="I1430">
            <v>60748148.099999994</v>
          </cell>
        </row>
        <row r="1431">
          <cell r="A1431" t="str">
            <v>555WA</v>
          </cell>
          <cell r="B1431">
            <v>555</v>
          </cell>
          <cell r="C1431" t="str">
            <v>WA</v>
          </cell>
          <cell r="D1431">
            <v>1141130.1499999997</v>
          </cell>
          <cell r="F1431" t="str">
            <v>555WA</v>
          </cell>
          <cell r="G1431">
            <v>555</v>
          </cell>
          <cell r="H1431" t="str">
            <v>WA</v>
          </cell>
          <cell r="I1431">
            <v>1141130.1499999997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H2">
            <v>0.61922900000000003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</row>
      </sheetData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UT Variance"/>
      <sheetName val="Sch 47 Unscheduled KWH"/>
      <sheetName val="CA CARE"/>
      <sheetName val="Property Sales"/>
      <sheetName val="Grid West Reg Asset"/>
      <sheetName val="2010 Protocol"/>
      <sheetName val="RAC Deferral"/>
      <sheetName val="OSIP"/>
      <sheetName val="Deer Creek"/>
      <sheetName val="WA SBC"/>
      <sheetName val="WA Depreciation"/>
      <sheetName val="WA Merwin"/>
      <sheetName val="CA ESA"/>
      <sheetName val="CA SI"/>
      <sheetName val="CA Pub Purp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WY New DSM Codes"/>
      <sheetName val="New WY DSM"/>
      <sheetName val="Prorations&gt;&gt;&gt;"/>
      <sheetName val="Prorate OR 01-15"/>
      <sheetName val="Prorate OR 02-15 OSIP"/>
      <sheetName val="Prorate OR 03-15 OSIP"/>
      <sheetName val="Prorate OR 04-15 OSIP"/>
      <sheetName val="Prorate OR 02-15 RAC"/>
      <sheetName val="Prorate OR 03-15 RAC"/>
      <sheetName val="Prorate 05-15 Deer Cr"/>
      <sheetName val="Prorate 06-15 Deer Cr"/>
      <sheetName val="Prorate 07-15 Deer Cr"/>
      <sheetName val="Prorate 08-15 Deer Cr"/>
      <sheetName val="Prorate 08-15 - CA SI"/>
      <sheetName val="Prorate 09-15 - CA SI"/>
      <sheetName val="Prorate 10-15 - CA SI"/>
      <sheetName val="Prorate WA 03-15 - Depr+Merwin"/>
      <sheetName val="Prorate WA 04-15 - Depr+Merwin"/>
      <sheetName val="Prorate WA 05-15 - Depr+Merwin"/>
      <sheetName val="Prorate WA 0615 - Depr + Merwin"/>
      <sheetName val="Prorate WA 08-15 - SBC"/>
      <sheetName val="Prorate WA 09-15 - SBC"/>
      <sheetName val="Prorate WA 10-15 - SBC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 t="str">
            <v>4&amp;5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 t="str">
            <v>4&amp;5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 t="str">
            <v>4&amp;5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 t="str">
            <v>4&amp;5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 t="str">
            <v>4&amp;5</v>
          </cell>
        </row>
        <row r="127">
          <cell r="A127">
            <v>21649</v>
          </cell>
          <cell r="B127" t="str">
            <v>01RENEW004 - 01RESD0004</v>
          </cell>
          <cell r="C127" t="str">
            <v>4&amp;5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 t="str">
            <v>4&amp;5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 t="str">
            <v>4&amp;5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 t="str">
            <v>4&amp;5</v>
          </cell>
        </row>
        <row r="255">
          <cell r="A255">
            <v>21972</v>
          </cell>
          <cell r="B255" t="str">
            <v>01COST004T-RES TOU ENERGY SUPPLY SVC</v>
          </cell>
          <cell r="C255" t="str">
            <v>4&amp;5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 t="str">
            <v>4&amp;5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  <row r="338">
          <cell r="A338">
            <v>21665</v>
          </cell>
          <cell r="B338" t="str">
            <v>01STDAY048 - 01LGNSV048</v>
          </cell>
          <cell r="C338">
            <v>48</v>
          </cell>
        </row>
        <row r="339">
          <cell r="A339">
            <v>11286</v>
          </cell>
          <cell r="B339" t="str">
            <v>SOLAR FEED-IN REVENUE</v>
          </cell>
          <cell r="C339" t="str">
            <v>AGA</v>
          </cell>
        </row>
        <row r="340">
          <cell r="A340">
            <v>20848</v>
          </cell>
          <cell r="B340" t="str">
            <v>08CFR00001-MTH FACILITY S</v>
          </cell>
          <cell r="C340" t="str">
            <v>AGA</v>
          </cell>
        </row>
        <row r="341">
          <cell r="A341">
            <v>20864</v>
          </cell>
          <cell r="B341" t="str">
            <v>08CHCK000R-UT RES CHECK M</v>
          </cell>
          <cell r="C341" t="str">
            <v>AGA</v>
          </cell>
        </row>
        <row r="342">
          <cell r="A342">
            <v>20948</v>
          </cell>
          <cell r="B342" t="str">
            <v>08OALT007R-SECURITY AR LG</v>
          </cell>
          <cell r="C342">
            <v>7</v>
          </cell>
        </row>
        <row r="343">
          <cell r="A343">
            <v>20957</v>
          </cell>
          <cell r="B343" t="str">
            <v>08RESD0001-RES SRVC</v>
          </cell>
          <cell r="C343">
            <v>1</v>
          </cell>
        </row>
        <row r="344">
          <cell r="A344">
            <v>20958</v>
          </cell>
          <cell r="B344" t="str">
            <v>08RESD0002-RES SRVC-OPTIO</v>
          </cell>
          <cell r="C344">
            <v>2</v>
          </cell>
        </row>
        <row r="345">
          <cell r="A345">
            <v>20970</v>
          </cell>
          <cell r="B345" t="str">
            <v>08UPPL000R-BASE SCH FALL</v>
          </cell>
          <cell r="C345" t="str">
            <v>AGA</v>
          </cell>
        </row>
        <row r="346">
          <cell r="A346">
            <v>21218</v>
          </cell>
          <cell r="B346" t="str">
            <v>08PTLD000R-POST TOP LIGHT</v>
          </cell>
          <cell r="C346" t="str">
            <v>AGA</v>
          </cell>
        </row>
        <row r="347">
          <cell r="A347">
            <v>21354</v>
          </cell>
          <cell r="B347" t="str">
            <v>08LNX00108-ANN COST MTHLY</v>
          </cell>
          <cell r="C347" t="str">
            <v>AGA</v>
          </cell>
        </row>
        <row r="348">
          <cell r="A348">
            <v>21582</v>
          </cell>
          <cell r="B348" t="str">
            <v>08RESD0003-LIFELINE PRGRM</v>
          </cell>
          <cell r="C348">
            <v>3</v>
          </cell>
        </row>
        <row r="349">
          <cell r="A349">
            <v>21584</v>
          </cell>
          <cell r="B349" t="str">
            <v>08LNX00005-MTHLY MIN GUAR</v>
          </cell>
          <cell r="C349" t="str">
            <v>AGA</v>
          </cell>
        </row>
        <row r="350">
          <cell r="A350">
            <v>21588</v>
          </cell>
          <cell r="B350" t="str">
            <v>08LNX00013-80% MNTHLY MIN</v>
          </cell>
          <cell r="C350" t="str">
            <v>AGA</v>
          </cell>
        </row>
        <row r="351">
          <cell r="A351">
            <v>21609</v>
          </cell>
          <cell r="B351" t="str">
            <v>08LNX00001-MTHLY 80% GUAR</v>
          </cell>
          <cell r="C351" t="str">
            <v>AGA</v>
          </cell>
        </row>
        <row r="352">
          <cell r="A352">
            <v>21719</v>
          </cell>
          <cell r="B352" t="str">
            <v>08NETMT135 - Net Metering</v>
          </cell>
          <cell r="C352">
            <v>1</v>
          </cell>
        </row>
        <row r="353">
          <cell r="A353">
            <v>21734</v>
          </cell>
          <cell r="B353" t="str">
            <v>08COOLKPRR - Utah Cool Keeper Program</v>
          </cell>
          <cell r="C353" t="str">
            <v>AGA</v>
          </cell>
        </row>
        <row r="354">
          <cell r="A354">
            <v>21999</v>
          </cell>
          <cell r="B354" t="str">
            <v>08MHTP0006-MOBILE HOME &amp; TRAILER</v>
          </cell>
          <cell r="C354">
            <v>6</v>
          </cell>
        </row>
        <row r="355">
          <cell r="A355">
            <v>22000</v>
          </cell>
          <cell r="B355" t="str">
            <v>08MHTP0023-MOBILE HOME &amp; TRAILER</v>
          </cell>
          <cell r="C355">
            <v>23</v>
          </cell>
        </row>
        <row r="356">
          <cell r="A356">
            <v>22001</v>
          </cell>
          <cell r="B356" t="str">
            <v>08RGNSV006-GEN SRVC-RES</v>
          </cell>
          <cell r="C356">
            <v>6</v>
          </cell>
        </row>
        <row r="357">
          <cell r="A357">
            <v>22002</v>
          </cell>
          <cell r="B357" t="str">
            <v>08RGNSV023-GEN SRVC-RES</v>
          </cell>
          <cell r="C357">
            <v>23</v>
          </cell>
        </row>
        <row r="358">
          <cell r="A358">
            <v>22004</v>
          </cell>
          <cell r="B358" t="str">
            <v>08RNM23135 - UT NET MTR, GEN SVC-RES</v>
          </cell>
          <cell r="C358">
            <v>23</v>
          </cell>
        </row>
        <row r="359">
          <cell r="A359">
            <v>22007</v>
          </cell>
          <cell r="B359" t="str">
            <v>08RGNSV06A-UT SMALL GENERAL SVC-RES-TOU</v>
          </cell>
          <cell r="C359" t="str">
            <v>6A</v>
          </cell>
        </row>
        <row r="360">
          <cell r="A360">
            <v>88</v>
          </cell>
          <cell r="B360" t="str">
            <v>UNBILLED REVENUE</v>
          </cell>
          <cell r="C360" t="str">
            <v>AGA</v>
          </cell>
        </row>
        <row r="361">
          <cell r="A361">
            <v>20868</v>
          </cell>
          <cell r="B361" t="str">
            <v>08EFOP0021-ELEC FURNACE O</v>
          </cell>
          <cell r="C361">
            <v>21</v>
          </cell>
        </row>
        <row r="362">
          <cell r="A362">
            <v>20870</v>
          </cell>
          <cell r="B362" t="str">
            <v>08GNSV0006-GEN SRVC-DISTR</v>
          </cell>
          <cell r="C362">
            <v>6</v>
          </cell>
        </row>
        <row r="363">
          <cell r="A363">
            <v>20871</v>
          </cell>
          <cell r="B363" t="str">
            <v>08GNSV0009-GEN SRVC-HI VO</v>
          </cell>
          <cell r="C363">
            <v>9</v>
          </cell>
        </row>
        <row r="364">
          <cell r="A364">
            <v>20872</v>
          </cell>
          <cell r="B364" t="str">
            <v>08GNSV0023-GEN SRVC-DISTR</v>
          </cell>
          <cell r="C364">
            <v>23</v>
          </cell>
        </row>
        <row r="365">
          <cell r="A365">
            <v>20874</v>
          </cell>
          <cell r="B365" t="str">
            <v>08GNSV006A-GEN SRVC-ENERG</v>
          </cell>
          <cell r="C365" t="str">
            <v>6A</v>
          </cell>
        </row>
        <row r="366">
          <cell r="A366">
            <v>20875</v>
          </cell>
          <cell r="B366" t="str">
            <v>08GNSV006B-GEN SRVC-DEM&amp;</v>
          </cell>
          <cell r="C366" t="str">
            <v>6B</v>
          </cell>
        </row>
        <row r="367">
          <cell r="A367">
            <v>20876</v>
          </cell>
          <cell r="B367" t="str">
            <v>08GNSV009A-GEN SRVC HI VO</v>
          </cell>
          <cell r="C367" t="str">
            <v>9A</v>
          </cell>
        </row>
        <row r="368">
          <cell r="A368">
            <v>20881</v>
          </cell>
          <cell r="B368" t="str">
            <v>08GNSV023F-GEN SRVC FIXED</v>
          </cell>
          <cell r="C368">
            <v>23</v>
          </cell>
        </row>
        <row r="369">
          <cell r="A369">
            <v>20947</v>
          </cell>
          <cell r="B369" t="str">
            <v>08OALT007N-SECURITY AR LG</v>
          </cell>
          <cell r="C369">
            <v>7</v>
          </cell>
        </row>
        <row r="370">
          <cell r="A370">
            <v>20961</v>
          </cell>
          <cell r="B370" t="str">
            <v>08TOSS0015-TRAF &amp;amp; OTHER S</v>
          </cell>
          <cell r="C370" t="str">
            <v>15TOS</v>
          </cell>
        </row>
        <row r="371">
          <cell r="A371">
            <v>20962</v>
          </cell>
          <cell r="B371" t="str">
            <v>08MONL0015-MTR OUTDONIGHT</v>
          </cell>
          <cell r="C371" t="str">
            <v>15MON</v>
          </cell>
        </row>
        <row r="372">
          <cell r="A372">
            <v>21224</v>
          </cell>
          <cell r="B372" t="str">
            <v>08CFR00051-MTH FAC SRVCHG</v>
          </cell>
          <cell r="C372">
            <v>51</v>
          </cell>
        </row>
        <row r="373">
          <cell r="A373">
            <v>21246</v>
          </cell>
          <cell r="B373" t="str">
            <v>08GNSV009M-MANL HIGH VOLT</v>
          </cell>
          <cell r="C373">
            <v>9</v>
          </cell>
        </row>
        <row r="374">
          <cell r="A374">
            <v>21253</v>
          </cell>
          <cell r="B374" t="str">
            <v>08GNSV06AM-MNL ENERGY TOD</v>
          </cell>
          <cell r="C374" t="str">
            <v>6A</v>
          </cell>
        </row>
        <row r="375">
          <cell r="A375">
            <v>21255</v>
          </cell>
          <cell r="B375" t="str">
            <v>08SPCL0001</v>
          </cell>
          <cell r="C375" t="str">
            <v>SPCL1</v>
          </cell>
        </row>
        <row r="376">
          <cell r="A376">
            <v>21256</v>
          </cell>
          <cell r="B376" t="str">
            <v>08SPCL0002</v>
          </cell>
          <cell r="C376" t="str">
            <v>SPCL2</v>
          </cell>
        </row>
        <row r="377">
          <cell r="A377">
            <v>21257</v>
          </cell>
          <cell r="B377" t="str">
            <v>08SPCL0003</v>
          </cell>
          <cell r="C377" t="str">
            <v>SPCL3</v>
          </cell>
        </row>
        <row r="378">
          <cell r="A378">
            <v>21264</v>
          </cell>
          <cell r="B378" t="str">
            <v>08GNSV09AM-MAN TOD HIVOLT</v>
          </cell>
          <cell r="C378" t="str">
            <v>9A</v>
          </cell>
        </row>
        <row r="379">
          <cell r="A379">
            <v>21275</v>
          </cell>
          <cell r="B379" t="str">
            <v>08PRSV031M-BKUP MNT&amp;SUPPL</v>
          </cell>
          <cell r="C379">
            <v>31</v>
          </cell>
        </row>
        <row r="380">
          <cell r="A380">
            <v>21320</v>
          </cell>
          <cell r="B380" t="str">
            <v>08EFOP021M-ELEC FURNACE O</v>
          </cell>
          <cell r="C380">
            <v>21</v>
          </cell>
        </row>
        <row r="381">
          <cell r="A381">
            <v>21562</v>
          </cell>
          <cell r="B381" t="str">
            <v>08GNSV06MN-GNSV DIST VOLT</v>
          </cell>
          <cell r="C381">
            <v>6</v>
          </cell>
        </row>
        <row r="382">
          <cell r="A382">
            <v>21571</v>
          </cell>
          <cell r="B382" t="str">
            <v>08LNX00014-80% MIN MNTHLY</v>
          </cell>
          <cell r="C382" t="str">
            <v>AGA</v>
          </cell>
        </row>
        <row r="383">
          <cell r="A383">
            <v>21574</v>
          </cell>
          <cell r="B383" t="str">
            <v>08LNX00002-MTHLY 80% GUAR</v>
          </cell>
          <cell r="C383" t="str">
            <v>AGA</v>
          </cell>
        </row>
        <row r="384">
          <cell r="A384">
            <v>21731</v>
          </cell>
          <cell r="B384" t="str">
            <v>08LNX00300 - LINE EXT 80% PLUS MONTHLY</v>
          </cell>
          <cell r="C384" t="str">
            <v>AGA</v>
          </cell>
        </row>
        <row r="385">
          <cell r="A385">
            <v>21803</v>
          </cell>
          <cell r="B385" t="str">
            <v>08NMT23135 - UT NET MTR, GEN, &lt; 25 KW</v>
          </cell>
          <cell r="C385">
            <v>23</v>
          </cell>
        </row>
        <row r="386">
          <cell r="A386">
            <v>21820</v>
          </cell>
          <cell r="B386" t="str">
            <v>08GNSV0008 - UT GEN SVC TOU &gt; 1000KW</v>
          </cell>
          <cell r="C386">
            <v>8</v>
          </cell>
        </row>
        <row r="387">
          <cell r="A387">
            <v>21821</v>
          </cell>
          <cell r="B387" t="str">
            <v>08GNSV008M - UT GEN SVC TOU &gt; 1000KW</v>
          </cell>
          <cell r="C387">
            <v>8</v>
          </cell>
        </row>
        <row r="388">
          <cell r="A388">
            <v>21822</v>
          </cell>
          <cell r="B388" t="str">
            <v>08LNX00311 - LINE EXT 80% GUARANTEE</v>
          </cell>
          <cell r="C388" t="str">
            <v>AGA</v>
          </cell>
        </row>
        <row r="389">
          <cell r="A389">
            <v>21944</v>
          </cell>
          <cell r="B389" t="str">
            <v>08NMT06135-UT NET METERING GEN SVC</v>
          </cell>
          <cell r="C389">
            <v>6</v>
          </cell>
        </row>
        <row r="390">
          <cell r="A390">
            <v>21966</v>
          </cell>
          <cell r="B390" t="str">
            <v>08NMT6A135-NET METERING GEN SVC TOU</v>
          </cell>
          <cell r="C390" t="str">
            <v>6A</v>
          </cell>
        </row>
        <row r="391">
          <cell r="A391">
            <v>11279</v>
          </cell>
          <cell r="B391" t="str">
            <v>367880-REVENUE ADJ PROPERTY INSUR-IRG</v>
          </cell>
          <cell r="C391" t="str">
            <v>AGA</v>
          </cell>
        </row>
        <row r="392">
          <cell r="A392">
            <v>20845</v>
          </cell>
          <cell r="B392" t="str">
            <v>08APSV0010-IRR &amp; SOIL DRA</v>
          </cell>
          <cell r="C392">
            <v>10</v>
          </cell>
        </row>
        <row r="393">
          <cell r="A393">
            <v>21604</v>
          </cell>
          <cell r="B393" t="str">
            <v>08LNX00017-ADV/REF&amp;80%ANN</v>
          </cell>
          <cell r="C393" t="str">
            <v>AGA</v>
          </cell>
        </row>
        <row r="394">
          <cell r="A394">
            <v>21610</v>
          </cell>
          <cell r="B394" t="str">
            <v>08LNX00004-ANNUAL 80%GUAR</v>
          </cell>
          <cell r="C394" t="str">
            <v>AGA</v>
          </cell>
        </row>
        <row r="395">
          <cell r="A395">
            <v>21611</v>
          </cell>
          <cell r="B395" t="str">
            <v>08LNX00014-80% MIN MNTHLY</v>
          </cell>
          <cell r="C395" t="str">
            <v>AGA</v>
          </cell>
        </row>
        <row r="396">
          <cell r="A396">
            <v>21696</v>
          </cell>
          <cell r="B396" t="str">
            <v>08APSV10NS- Irg Soil Drain Pump Non Seas</v>
          </cell>
          <cell r="C396">
            <v>10</v>
          </cell>
        </row>
        <row r="397">
          <cell r="A397">
            <v>21833</v>
          </cell>
          <cell r="B397" t="str">
            <v>08LNX00310 - IRR, 80% ANNUAL MIN + 80% ?</v>
          </cell>
          <cell r="C397" t="str">
            <v>AGA</v>
          </cell>
        </row>
        <row r="398">
          <cell r="A398">
            <v>21879</v>
          </cell>
          <cell r="B398" t="str">
            <v>08LNX00312 UT IRG LINE EXT</v>
          </cell>
          <cell r="C398" t="str">
            <v>AGA</v>
          </cell>
        </row>
        <row r="399">
          <cell r="A399">
            <v>21885</v>
          </cell>
          <cell r="B399" t="str">
            <v>08NMT10135-UT IRR_SOIL DRNG NET MTR SVC</v>
          </cell>
          <cell r="C399">
            <v>10</v>
          </cell>
        </row>
        <row r="400">
          <cell r="A400">
            <v>89</v>
          </cell>
          <cell r="B400" t="str">
            <v>UNBILLED REV - IRRIGATION</v>
          </cell>
          <cell r="C400" t="str">
            <v>AGA</v>
          </cell>
        </row>
        <row r="401">
          <cell r="A401">
            <v>20860</v>
          </cell>
          <cell r="B401" t="str">
            <v>08CFR00012-STR LGTS (CONV</v>
          </cell>
          <cell r="C401">
            <v>12</v>
          </cell>
        </row>
        <row r="402">
          <cell r="A402">
            <v>20960</v>
          </cell>
          <cell r="B402" t="str">
            <v>08SLCO0011-STR LGT CO-OWN</v>
          </cell>
          <cell r="C402">
            <v>11</v>
          </cell>
        </row>
        <row r="403">
          <cell r="A403">
            <v>20961</v>
          </cell>
          <cell r="B403" t="str">
            <v>08TOSS0015-TRAF &amp;amp; OTHER S</v>
          </cell>
          <cell r="C403">
            <v>15</v>
          </cell>
        </row>
        <row r="404">
          <cell r="A404">
            <v>20962</v>
          </cell>
          <cell r="B404" t="str">
            <v>08MONL0015-MTR OUTDONIGHT</v>
          </cell>
          <cell r="C404">
            <v>15</v>
          </cell>
        </row>
        <row r="405">
          <cell r="A405">
            <v>20963</v>
          </cell>
          <cell r="B405" t="str">
            <v>08SLCU012P-STR LGT CUST-O</v>
          </cell>
          <cell r="C405">
            <v>12</v>
          </cell>
        </row>
        <row r="406">
          <cell r="A406">
            <v>20964</v>
          </cell>
          <cell r="B406" t="str">
            <v>08SLCU012F-STR LGT CUST-O</v>
          </cell>
          <cell r="C406">
            <v>12</v>
          </cell>
        </row>
        <row r="407">
          <cell r="A407">
            <v>21220</v>
          </cell>
          <cell r="B407" t="str">
            <v>08TOSS015F-TRAFFIC SIG NM</v>
          </cell>
          <cell r="C407">
            <v>15</v>
          </cell>
        </row>
        <row r="408">
          <cell r="A408">
            <v>21224</v>
          </cell>
          <cell r="B408" t="str">
            <v>08CFR00051-MTH FAC SRVCHG</v>
          </cell>
          <cell r="C408">
            <v>51</v>
          </cell>
        </row>
        <row r="409">
          <cell r="A409">
            <v>21272</v>
          </cell>
          <cell r="B409" t="str">
            <v>08CFR00062-STREET LIGHTS</v>
          </cell>
          <cell r="C409" t="str">
            <v>AGA</v>
          </cell>
        </row>
        <row r="410">
          <cell r="A410">
            <v>21542</v>
          </cell>
          <cell r="B410" t="str">
            <v>08SLCU012E-DECOR CUST-OWN</v>
          </cell>
          <cell r="C410">
            <v>12</v>
          </cell>
        </row>
        <row r="411">
          <cell r="A411">
            <v>11263</v>
          </cell>
          <cell r="B411" t="str">
            <v>301770-DSM REVENUE-OPSA</v>
          </cell>
          <cell r="C411" t="str">
            <v>AGA</v>
          </cell>
        </row>
        <row r="412">
          <cell r="A412">
            <v>21246</v>
          </cell>
          <cell r="B412" t="str">
            <v>08GNSV009M-MANL HIGH VOLT</v>
          </cell>
          <cell r="C412">
            <v>9</v>
          </cell>
        </row>
        <row r="413">
          <cell r="A413">
            <v>21275</v>
          </cell>
          <cell r="B413" t="str">
            <v>08PRSV031M-BKUP MNT&amp;SUPPL</v>
          </cell>
          <cell r="C413">
            <v>31</v>
          </cell>
        </row>
        <row r="414">
          <cell r="A414">
            <v>21217</v>
          </cell>
          <cell r="B414" t="str">
            <v>08PTLD000N-POST TOP LIGHT</v>
          </cell>
          <cell r="C414" t="str">
            <v>AGA</v>
          </cell>
        </row>
        <row r="415">
          <cell r="A415">
            <v>21234</v>
          </cell>
          <cell r="B415" t="str">
            <v>08GNSV006M-MNL DIST VOLTG</v>
          </cell>
          <cell r="C415">
            <v>6</v>
          </cell>
        </row>
        <row r="416">
          <cell r="A416">
            <v>21249</v>
          </cell>
          <cell r="B416" t="str">
            <v>08POLE0075-POLES W/LIGHT</v>
          </cell>
          <cell r="C416" t="str">
            <v>AGA</v>
          </cell>
        </row>
        <row r="417">
          <cell r="A417">
            <v>21322</v>
          </cell>
          <cell r="B417" t="str">
            <v>08GNSV023M-GNSV DIST VOLT</v>
          </cell>
          <cell r="C417">
            <v>23</v>
          </cell>
        </row>
        <row r="418">
          <cell r="A418">
            <v>21391</v>
          </cell>
          <cell r="B418" t="str">
            <v>08LNX00158-ANNUALCOST MTH</v>
          </cell>
          <cell r="C418" t="str">
            <v>AGA</v>
          </cell>
        </row>
        <row r="419">
          <cell r="A419">
            <v>21583</v>
          </cell>
          <cell r="B419" t="str">
            <v>08LNX00017-ADV/REF&amp;80%ANN</v>
          </cell>
          <cell r="C419" t="str">
            <v>AGA</v>
          </cell>
        </row>
        <row r="420">
          <cell r="A420">
            <v>21587</v>
          </cell>
          <cell r="B420" t="str">
            <v>08LNX00006-FIXD MTHLY MIN</v>
          </cell>
          <cell r="C420" t="str">
            <v>AGA</v>
          </cell>
        </row>
        <row r="421">
          <cell r="A421">
            <v>21772</v>
          </cell>
          <cell r="B421" t="str">
            <v>08COOLKPRN - A/C DIRECT LOAD CONTROL</v>
          </cell>
          <cell r="C421" t="str">
            <v>AGA</v>
          </cell>
        </row>
        <row r="422">
          <cell r="A422">
            <v>21945</v>
          </cell>
          <cell r="B422" t="str">
            <v>08NMT08135 - NET METERING GEN SVC</v>
          </cell>
          <cell r="C422">
            <v>8</v>
          </cell>
        </row>
        <row r="423">
          <cell r="A423">
            <v>21989</v>
          </cell>
          <cell r="B423" t="str">
            <v>08ABL-NRES - APPLICANT BUILT LINE</v>
          </cell>
          <cell r="C423" t="str">
            <v>AGA</v>
          </cell>
        </row>
        <row r="424">
          <cell r="A424">
            <v>22024</v>
          </cell>
          <cell r="B424" t="str">
            <v>02NMT40135-WA NET METERING-IRG</v>
          </cell>
          <cell r="C424">
            <v>40</v>
          </cell>
        </row>
        <row r="425">
          <cell r="A425">
            <v>22027</v>
          </cell>
          <cell r="B425" t="str">
            <v>01CSTUSB41-USBR IRRIGATION CONTRACTS CSS</v>
          </cell>
          <cell r="C425">
            <v>41</v>
          </cell>
        </row>
        <row r="426">
          <cell r="A426">
            <v>22028</v>
          </cell>
          <cell r="B426" t="str">
            <v>01NMU41135 - OR NET MTR - PROJECT LAND</v>
          </cell>
          <cell r="C426">
            <v>41</v>
          </cell>
        </row>
        <row r="427">
          <cell r="A427">
            <v>22029</v>
          </cell>
          <cell r="B427" t="str">
            <v>01USBGV041-IRG TOU W/O BPA</v>
          </cell>
          <cell r="C427">
            <v>41</v>
          </cell>
        </row>
        <row r="428">
          <cell r="A428">
            <v>22030</v>
          </cell>
          <cell r="B428" t="str">
            <v>01USBOF041-KLAMATH BASIN IRG OFF PRJ LND</v>
          </cell>
          <cell r="C428">
            <v>41</v>
          </cell>
        </row>
        <row r="429">
          <cell r="A429">
            <v>22031</v>
          </cell>
          <cell r="B429" t="str">
            <v>01USBON041-KLAMATH BASIN IRG ON PJT LND</v>
          </cell>
          <cell r="C429">
            <v>41</v>
          </cell>
        </row>
        <row r="430">
          <cell r="A430">
            <v>22032</v>
          </cell>
          <cell r="B430" t="str">
            <v>01VRU41136-OR VOL INCENTIVE USB CONTRACT</v>
          </cell>
          <cell r="C430">
            <v>41</v>
          </cell>
        </row>
        <row r="431">
          <cell r="A431">
            <v>22038</v>
          </cell>
          <cell r="B431" t="str">
            <v>06NMT48135-CA GEN SVC NET MTR-&gt;500 KW</v>
          </cell>
          <cell r="C431" t="str">
            <v>AT48</v>
          </cell>
        </row>
        <row r="432">
          <cell r="A432">
            <v>22043</v>
          </cell>
          <cell r="B432" t="str">
            <v>02NMT48135-WA LG SVC NET METER=&gt;1000 KW</v>
          </cell>
          <cell r="C432" t="str">
            <v>48T</v>
          </cell>
        </row>
        <row r="433">
          <cell r="A433">
            <v>22040</v>
          </cell>
          <cell r="B433" t="str">
            <v>01RNETM023-NET METER RESIDENTIAL GEN SVC</v>
          </cell>
          <cell r="C433">
            <v>23</v>
          </cell>
        </row>
        <row r="434">
          <cell r="A434">
            <v>22045</v>
          </cell>
          <cell r="B434" t="str">
            <v>01GNSB0028-OR GENERAL SERVICE &gt; 30 KW</v>
          </cell>
          <cell r="C434">
            <v>28</v>
          </cell>
        </row>
        <row r="435">
          <cell r="A435">
            <v>21797</v>
          </cell>
          <cell r="B435" t="str">
            <v>06BLSKY01R - BLUESKY ENERGY</v>
          </cell>
          <cell r="C435" t="str">
            <v>AGA</v>
          </cell>
        </row>
        <row r="436">
          <cell r="A436">
            <v>22047</v>
          </cell>
          <cell r="B436" t="str">
            <v>06APSV020L-AG PMP SRVC-NO GHG CREDIT</v>
          </cell>
          <cell r="C436" t="str">
            <v>PA20</v>
          </cell>
        </row>
        <row r="437">
          <cell r="A437">
            <v>22048</v>
          </cell>
          <cell r="B437" t="str">
            <v>06USBR020L-KLAM IRG ONPRJ-NO CHG CREDIT</v>
          </cell>
          <cell r="C437" t="str">
            <v>PA20</v>
          </cell>
        </row>
        <row r="438">
          <cell r="A438">
            <v>22049</v>
          </cell>
          <cell r="B438" t="str">
            <v>06NML20135-AGRI PUMP-NET MTR NO GHG CR</v>
          </cell>
          <cell r="C438" t="str">
            <v>PA20</v>
          </cell>
        </row>
        <row r="439">
          <cell r="A439">
            <v>22050</v>
          </cell>
          <cell r="B439" t="str">
            <v>01RGNSB028 - GENERAL SVC &gt; 30 KW - RES</v>
          </cell>
          <cell r="C439">
            <v>28</v>
          </cell>
        </row>
        <row r="440">
          <cell r="A440">
            <v>22052</v>
          </cell>
          <cell r="B440" t="str">
            <v>01COSTR028, OR RES GEN SVC&gt;30KW CST BSD</v>
          </cell>
          <cell r="C440">
            <v>28</v>
          </cell>
        </row>
        <row r="441">
          <cell r="A441">
            <v>22053</v>
          </cell>
          <cell r="B441" t="str">
            <v>01APSV0215-OR IRRIGATION TOU PILOT</v>
          </cell>
          <cell r="C441">
            <v>215</v>
          </cell>
        </row>
        <row r="442">
          <cell r="A442">
            <v>22054</v>
          </cell>
          <cell r="B442" t="str">
            <v>01COST0215-OR TOU PILOT COST BASED SPPLY</v>
          </cell>
          <cell r="C442">
            <v>215</v>
          </cell>
        </row>
        <row r="443">
          <cell r="A443">
            <v>22055</v>
          </cell>
          <cell r="B443" t="str">
            <v>01USBR0215-OR IRG TOU PILOT USBR CUST</v>
          </cell>
          <cell r="C443">
            <v>215</v>
          </cell>
        </row>
        <row r="444">
          <cell r="A444">
            <v>11307</v>
          </cell>
          <cell r="B444" t="str">
            <v>367570-REVENUE ADJ I&amp;D RESERVE-RES</v>
          </cell>
          <cell r="C444" t="str">
            <v>AGA</v>
          </cell>
        </row>
        <row r="445">
          <cell r="A445">
            <v>11308</v>
          </cell>
          <cell r="B445" t="str">
            <v>367670-REVENUE ADJ I&amp;D RESERVE-COM</v>
          </cell>
          <cell r="C445" t="str">
            <v>AGA</v>
          </cell>
        </row>
        <row r="446">
          <cell r="A446">
            <v>11309</v>
          </cell>
          <cell r="B446" t="str">
            <v>367770-REVENUE ADJ I&amp;D RESERVE-IND</v>
          </cell>
          <cell r="C446" t="str">
            <v>AGA</v>
          </cell>
        </row>
        <row r="447">
          <cell r="A447">
            <v>11310</v>
          </cell>
          <cell r="B447" t="str">
            <v>367870-REVENUE ADJ I&amp;D RESERVE-IRG</v>
          </cell>
          <cell r="C447" t="str">
            <v>AGA</v>
          </cell>
        </row>
        <row r="448">
          <cell r="A448">
            <v>22069</v>
          </cell>
          <cell r="B448" t="str">
            <v>01NMT41215-OR NET METER APSV TOU PILOT</v>
          </cell>
          <cell r="C448">
            <v>215</v>
          </cell>
        </row>
        <row r="449">
          <cell r="A449">
            <v>22070</v>
          </cell>
          <cell r="B449" t="str">
            <v>01VRU41215-OR VOL INCENTIVE USB TOU PLT</v>
          </cell>
          <cell r="C449">
            <v>215</v>
          </cell>
        </row>
        <row r="450">
          <cell r="A450">
            <v>22073</v>
          </cell>
          <cell r="B450" t="str">
            <v>01NMU41215-IRG TOU PILOT USBR NET MTR</v>
          </cell>
          <cell r="C450">
            <v>215</v>
          </cell>
        </row>
        <row r="451">
          <cell r="A451">
            <v>22076</v>
          </cell>
          <cell r="B451" t="str">
            <v>01RESEV05T-RES ELECTRIC VEHICLE TOU VIR</v>
          </cell>
          <cell r="C451" t="str">
            <v>4&amp;5</v>
          </cell>
        </row>
        <row r="452">
          <cell r="A452">
            <v>22078</v>
          </cell>
          <cell r="B452" t="str">
            <v>01PTOU0005-01RESEV05T TOU ENERGY SUP SVC</v>
          </cell>
          <cell r="C452" t="str">
            <v>4&amp;5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F9DD-D0D7-4366-A17B-15C0BE45AB76}">
  <sheetPr>
    <pageSetUpPr fitToPage="1"/>
  </sheetPr>
  <dimension ref="A1:AB75"/>
  <sheetViews>
    <sheetView showGridLines="0" tabSelected="1" view="pageBreakPreview" zoomScale="70" zoomScaleNormal="70" zoomScaleSheetLayoutView="70" workbookViewId="0"/>
  </sheetViews>
  <sheetFormatPr defaultRowHeight="15.75"/>
  <cols>
    <col min="1" max="1" width="12.625" style="209" bestFit="1" customWidth="1"/>
    <col min="2" max="2" width="20.625" style="209" customWidth="1"/>
    <col min="3" max="3" width="34" style="209" bestFit="1" customWidth="1"/>
    <col min="4" max="5" width="11.25" style="209" customWidth="1"/>
    <col min="6" max="12" width="10.25" style="236" customWidth="1"/>
    <col min="13" max="15" width="10.25" style="209" customWidth="1"/>
    <col min="16" max="16" width="0.875" style="463" customWidth="1"/>
    <col min="17" max="17" width="10.25" style="463" customWidth="1"/>
    <col min="18" max="18" width="10.25" style="209" customWidth="1"/>
    <col min="19" max="19" width="0.875" style="463" customWidth="1"/>
    <col min="20" max="20" width="12.75" style="209" bestFit="1" customWidth="1"/>
    <col min="21" max="21" width="20.5" style="209" bestFit="1" customWidth="1"/>
    <col min="22" max="25" width="18" style="209" customWidth="1"/>
    <col min="26" max="26" width="0.875" style="209" customWidth="1"/>
    <col min="27" max="28" width="11.25" style="209" customWidth="1"/>
    <col min="29" max="16384" width="9" style="209"/>
  </cols>
  <sheetData>
    <row r="1" spans="1:28" s="463" customFormat="1" ht="15.75" customHeight="1">
      <c r="A1" s="459"/>
      <c r="B1" s="460" t="s">
        <v>564</v>
      </c>
      <c r="C1" s="461"/>
      <c r="D1" s="461"/>
      <c r="E1" s="461"/>
      <c r="F1" s="410"/>
      <c r="G1" s="410"/>
      <c r="H1" s="410"/>
      <c r="I1" s="410"/>
      <c r="J1" s="410"/>
      <c r="K1" s="410"/>
      <c r="L1" s="410"/>
      <c r="M1" s="461"/>
      <c r="N1" s="461"/>
      <c r="O1" s="462"/>
      <c r="P1" s="577"/>
      <c r="R1" s="209"/>
    </row>
    <row r="2" spans="1:28" s="463" customFormat="1" ht="15.75" customHeight="1">
      <c r="A2" s="459"/>
      <c r="B2" s="470" t="s">
        <v>565</v>
      </c>
      <c r="C2" s="471"/>
      <c r="D2" s="471"/>
      <c r="E2" s="471"/>
      <c r="F2" s="412"/>
      <c r="G2" s="412"/>
      <c r="H2" s="412"/>
      <c r="I2" s="412"/>
      <c r="J2" s="412"/>
      <c r="K2" s="412"/>
      <c r="L2" s="412"/>
      <c r="M2" s="471"/>
      <c r="N2" s="471"/>
      <c r="O2" s="472"/>
      <c r="P2" s="577"/>
      <c r="R2" s="209"/>
    </row>
    <row r="3" spans="1:28" s="463" customFormat="1" ht="15.75" customHeight="1">
      <c r="A3" s="301"/>
      <c r="B3" s="303"/>
      <c r="C3" s="304"/>
      <c r="D3" s="500" t="s">
        <v>545</v>
      </c>
      <c r="E3" s="366"/>
      <c r="F3" s="346" t="str">
        <f>"Revenue ($"&amp;RIGHT(Q28,LEN(Q28)-1)&amp;")"</f>
        <v>Revenue ($000)</v>
      </c>
      <c r="G3" s="516"/>
      <c r="H3" s="516"/>
      <c r="I3" s="516"/>
      <c r="J3" s="516"/>
      <c r="K3" s="516"/>
      <c r="L3" s="516"/>
      <c r="M3" s="466"/>
      <c r="N3" s="466"/>
      <c r="O3" s="465"/>
      <c r="P3" s="577"/>
      <c r="Q3" s="362"/>
      <c r="T3" s="591" t="s">
        <v>600</v>
      </c>
      <c r="U3" s="591" t="s">
        <v>288</v>
      </c>
      <c r="V3" s="591" t="s">
        <v>601</v>
      </c>
      <c r="W3" s="591" t="s">
        <v>605</v>
      </c>
      <c r="X3" s="591" t="s">
        <v>606</v>
      </c>
      <c r="Y3" s="591" t="s">
        <v>607</v>
      </c>
    </row>
    <row r="4" spans="1:28" s="463" customFormat="1" ht="15.75" customHeight="1">
      <c r="A4" s="579"/>
      <c r="B4" s="395"/>
      <c r="C4" s="468"/>
      <c r="D4" s="363" t="s">
        <v>476</v>
      </c>
      <c r="E4" s="291"/>
      <c r="F4" s="509" t="s">
        <v>501</v>
      </c>
      <c r="G4" s="412"/>
      <c r="H4" s="412"/>
      <c r="I4" s="510"/>
      <c r="J4" s="509" t="s">
        <v>503</v>
      </c>
      <c r="K4" s="412"/>
      <c r="L4" s="412"/>
      <c r="M4" s="472"/>
      <c r="N4" s="470" t="s">
        <v>1</v>
      </c>
      <c r="O4" s="472"/>
      <c r="P4" s="577"/>
      <c r="T4" s="451"/>
      <c r="U4" s="580"/>
      <c r="V4" s="396" t="s">
        <v>414</v>
      </c>
      <c r="W4" s="396" t="s">
        <v>603</v>
      </c>
      <c r="X4" s="451"/>
      <c r="Y4" s="396" t="s">
        <v>604</v>
      </c>
    </row>
    <row r="5" spans="1:28" s="463" customFormat="1" ht="15.75" customHeight="1">
      <c r="A5" s="579"/>
      <c r="B5" s="395"/>
      <c r="C5" s="468"/>
      <c r="D5" s="363" t="s">
        <v>454</v>
      </c>
      <c r="E5" s="501" t="s">
        <v>546</v>
      </c>
      <c r="F5" s="447"/>
      <c r="G5" s="511"/>
      <c r="H5" s="511"/>
      <c r="I5" s="511" t="s">
        <v>494</v>
      </c>
      <c r="J5" s="447"/>
      <c r="K5" s="511"/>
      <c r="L5" s="511"/>
      <c r="M5" s="490" t="s">
        <v>494</v>
      </c>
      <c r="N5" s="491"/>
      <c r="O5" s="490" t="s">
        <v>494</v>
      </c>
      <c r="P5" s="577"/>
      <c r="Q5" s="641" t="s">
        <v>610</v>
      </c>
      <c r="R5" s="642"/>
      <c r="S5" s="601"/>
      <c r="T5" s="491"/>
      <c r="U5" s="468"/>
      <c r="V5" s="395" t="s">
        <v>598</v>
      </c>
      <c r="W5" s="395" t="s">
        <v>599</v>
      </c>
      <c r="X5" s="463" t="s">
        <v>412</v>
      </c>
      <c r="Y5" s="395" t="s">
        <v>599</v>
      </c>
    </row>
    <row r="6" spans="1:28" s="463" customFormat="1" ht="15.75" customHeight="1">
      <c r="A6" s="569"/>
      <c r="B6" s="306" t="s">
        <v>547</v>
      </c>
      <c r="C6" s="474" t="s">
        <v>548</v>
      </c>
      <c r="D6" s="284" t="s">
        <v>214</v>
      </c>
      <c r="E6" s="367" t="s">
        <v>549</v>
      </c>
      <c r="F6" s="307" t="s">
        <v>406</v>
      </c>
      <c r="G6" s="307" t="s">
        <v>412</v>
      </c>
      <c r="H6" s="307" t="s">
        <v>414</v>
      </c>
      <c r="I6" s="307" t="s">
        <v>414</v>
      </c>
      <c r="J6" s="307" t="s">
        <v>406</v>
      </c>
      <c r="K6" s="307" t="s">
        <v>412</v>
      </c>
      <c r="L6" s="307" t="s">
        <v>414</v>
      </c>
      <c r="M6" s="345" t="s">
        <v>414</v>
      </c>
      <c r="N6" s="345" t="s">
        <v>414</v>
      </c>
      <c r="O6" s="345" t="s">
        <v>414</v>
      </c>
      <c r="P6" s="578"/>
      <c r="Q6" s="481" t="s">
        <v>613</v>
      </c>
      <c r="R6" s="481" t="s">
        <v>614</v>
      </c>
      <c r="S6" s="602"/>
      <c r="T6" s="491"/>
      <c r="U6" s="468"/>
      <c r="V6" s="395" t="s">
        <v>602</v>
      </c>
      <c r="W6" s="395" t="s">
        <v>608</v>
      </c>
      <c r="X6" s="491" t="s">
        <v>583</v>
      </c>
      <c r="Y6" s="395" t="s">
        <v>602</v>
      </c>
      <c r="AA6" s="603" t="s">
        <v>589</v>
      </c>
      <c r="AB6" s="308"/>
    </row>
    <row r="7" spans="1:28" s="463" customFormat="1" ht="15.75" customHeight="1">
      <c r="A7" s="569"/>
      <c r="B7" s="302"/>
      <c r="C7" s="475"/>
      <c r="D7" s="469"/>
      <c r="E7" s="476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33"/>
      <c r="Q7" s="345" t="s">
        <v>520</v>
      </c>
      <c r="R7" s="345" t="s">
        <v>520</v>
      </c>
      <c r="T7" s="310" t="s">
        <v>418</v>
      </c>
      <c r="U7" s="283" t="s">
        <v>588</v>
      </c>
      <c r="V7" s="397" t="s">
        <v>589</v>
      </c>
      <c r="W7" s="397" t="s">
        <v>589</v>
      </c>
      <c r="X7" s="395" t="s">
        <v>414</v>
      </c>
      <c r="Y7" s="397" t="s">
        <v>589</v>
      </c>
      <c r="AA7" s="604" t="s">
        <v>497</v>
      </c>
      <c r="AB7" s="604" t="s">
        <v>499</v>
      </c>
    </row>
    <row r="8" spans="1:28" s="463" customFormat="1" ht="15.75" customHeight="1">
      <c r="A8" s="569"/>
      <c r="B8" s="302" t="s">
        <v>422</v>
      </c>
      <c r="C8" s="475" t="s">
        <v>4</v>
      </c>
      <c r="D8" s="291">
        <f t="shared" ref="D8:H13" si="0">SUMIFS(D$32:D$71,$B$32:$B$71,$B8)</f>
        <v>110741.69655913977</v>
      </c>
      <c r="E8" s="291">
        <f t="shared" si="0"/>
        <v>1631466.9598382837</v>
      </c>
      <c r="F8" s="291">
        <f t="shared" si="0"/>
        <v>176071.75485958633</v>
      </c>
      <c r="G8" s="291">
        <f t="shared" ca="1" si="0"/>
        <v>192165.62234420583</v>
      </c>
      <c r="H8" s="291">
        <f t="shared" ca="1" si="0"/>
        <v>16093.867484619492</v>
      </c>
      <c r="I8" s="477">
        <f t="shared" ref="I8:I25" ca="1" si="1">IFERROR(H8/F8*100,0)</f>
        <v>9.14051631816473</v>
      </c>
      <c r="J8" s="291">
        <f t="shared" ref="J8:L13" ca="1" si="2">SUMIFS(J$32:J$71,$B$32:$B$71,$B8)</f>
        <v>192165.62234420583</v>
      </c>
      <c r="K8" s="291">
        <f t="shared" ca="1" si="2"/>
        <v>204578.71140072282</v>
      </c>
      <c r="L8" s="291">
        <f t="shared" ca="1" si="2"/>
        <v>12413.089056516998</v>
      </c>
      <c r="M8" s="477">
        <f ca="1">IFERROR(L8/J8*100,0)</f>
        <v>6.4595784121484288</v>
      </c>
      <c r="N8" s="291">
        <f t="shared" ref="N8:N13" ca="1" si="3">SUMIFS(N$32:N$71,$B$32:$B$71,$B8)</f>
        <v>28506.956541136489</v>
      </c>
      <c r="O8" s="477">
        <f ca="1">IFERROR(N8/F8*100,0)</f>
        <v>16.190533549160232</v>
      </c>
      <c r="P8" s="599"/>
      <c r="Q8" s="607">
        <v>0.71</v>
      </c>
      <c r="R8" s="607">
        <v>0.69499999999999995</v>
      </c>
      <c r="S8" s="573"/>
      <c r="T8" s="582" t="s">
        <v>590</v>
      </c>
      <c r="U8" s="285" t="s">
        <v>4</v>
      </c>
      <c r="V8" s="585">
        <f t="shared" ref="V8:V13" ca="1" si="4">AB8/F8-1</f>
        <v>0.15460765194140036</v>
      </c>
      <c r="W8" s="585">
        <f t="shared" ref="W8:W13" si="5">F8/AA8</f>
        <v>0.98849425478220143</v>
      </c>
      <c r="X8" s="585">
        <f ca="1">O8/100</f>
        <v>0.16190533549160233</v>
      </c>
      <c r="Y8" s="585">
        <f t="shared" ref="Y8:Y13" ca="1" si="6">K8/AB8</f>
        <v>1.0063204877760261</v>
      </c>
      <c r="AA8" s="605">
        <f>'Cost of Service and Proposed $'!D128/Q28</f>
        <v>178121.17167881859</v>
      </c>
      <c r="AB8" s="605">
        <f ca="1">'Cost of Service and Proposed $'!U128/Q28</f>
        <v>203293.79545162883</v>
      </c>
    </row>
    <row r="9" spans="1:28" s="463" customFormat="1" ht="15.75" customHeight="1">
      <c r="A9" s="569"/>
      <c r="B9" s="302" t="s">
        <v>229</v>
      </c>
      <c r="C9" s="475" t="s">
        <v>559</v>
      </c>
      <c r="D9" s="291">
        <f t="shared" si="0"/>
        <v>20813.865258751903</v>
      </c>
      <c r="E9" s="291">
        <f t="shared" si="0"/>
        <v>547764.80929518421</v>
      </c>
      <c r="F9" s="291">
        <f t="shared" si="0"/>
        <v>58004.210238475229</v>
      </c>
      <c r="G9" s="291">
        <f t="shared" ca="1" si="0"/>
        <v>58003.383459654644</v>
      </c>
      <c r="H9" s="291">
        <f t="shared" ca="1" si="0"/>
        <v>-0.82677882058715113</v>
      </c>
      <c r="I9" s="477">
        <f t="shared" ca="1" si="1"/>
        <v>-1.4253772565611695E-3</v>
      </c>
      <c r="J9" s="291">
        <f t="shared" ca="1" si="2"/>
        <v>58003.383459654644</v>
      </c>
      <c r="K9" s="291">
        <f t="shared" ca="1" si="2"/>
        <v>61756.993368068317</v>
      </c>
      <c r="L9" s="291">
        <f t="shared" ca="1" si="2"/>
        <v>3753.6099084136777</v>
      </c>
      <c r="M9" s="477">
        <f t="shared" ref="M9:M25" ca="1" si="7">IFERROR(L9/J9*100,0)</f>
        <v>6.4713637110920814</v>
      </c>
      <c r="N9" s="291">
        <f t="shared" ca="1" si="3"/>
        <v>3752.7831295930905</v>
      </c>
      <c r="O9" s="477">
        <f t="shared" ref="O9:O25" ca="1" si="8">IFERROR(N9/F9*100,0)</f>
        <v>6.4698460924889938</v>
      </c>
      <c r="P9" s="599"/>
      <c r="Q9" s="607">
        <v>0.17599999999999999</v>
      </c>
      <c r="R9" s="607">
        <v>0.17499999999999999</v>
      </c>
      <c r="S9" s="573"/>
      <c r="T9" s="583" t="s">
        <v>592</v>
      </c>
      <c r="U9" s="292" t="s">
        <v>559</v>
      </c>
      <c r="V9" s="586">
        <f t="shared" ca="1" si="4"/>
        <v>6.2799183617871179E-2</v>
      </c>
      <c r="W9" s="586">
        <f t="shared" si="5"/>
        <v>1.0695771459011936</v>
      </c>
      <c r="X9" s="586">
        <f t="shared" ref="X9:X13" ca="1" si="9">O9/100</f>
        <v>6.4698460924889942E-2</v>
      </c>
      <c r="Y9" s="586">
        <f t="shared" ca="1" si="6"/>
        <v>1.0017870519062251</v>
      </c>
      <c r="AA9" s="606">
        <f>'Cost of Service and Proposed $'!E128/Q28</f>
        <v>54230.973857993784</v>
      </c>
      <c r="AB9" s="606">
        <f ca="1">'Cost of Service and Proposed $'!V128/Q28</f>
        <v>61646.827287850836</v>
      </c>
    </row>
    <row r="10" spans="1:28" s="463" customFormat="1" ht="15.75" customHeight="1">
      <c r="A10" s="569"/>
      <c r="B10" s="302" t="s">
        <v>279</v>
      </c>
      <c r="C10" s="475" t="s">
        <v>550</v>
      </c>
      <c r="D10" s="291">
        <f t="shared" si="0"/>
        <v>1070.5694444444446</v>
      </c>
      <c r="E10" s="291">
        <f t="shared" si="0"/>
        <v>932596.84183813736</v>
      </c>
      <c r="F10" s="291">
        <f t="shared" si="0"/>
        <v>84757.248952502094</v>
      </c>
      <c r="G10" s="291">
        <f t="shared" ca="1" si="0"/>
        <v>87564.634760351881</v>
      </c>
      <c r="H10" s="291">
        <f t="shared" ca="1" si="0"/>
        <v>2807.3858078497965</v>
      </c>
      <c r="I10" s="477">
        <f t="shared" ca="1" si="1"/>
        <v>3.3122663165047439</v>
      </c>
      <c r="J10" s="291">
        <f t="shared" ca="1" si="2"/>
        <v>87564.634760351881</v>
      </c>
      <c r="K10" s="291">
        <f t="shared" ca="1" si="2"/>
        <v>93219.762282029173</v>
      </c>
      <c r="L10" s="291">
        <f t="shared" ca="1" si="2"/>
        <v>5655.1275216772819</v>
      </c>
      <c r="M10" s="477">
        <f t="shared" ca="1" si="7"/>
        <v>6.4582322956685809</v>
      </c>
      <c r="N10" s="291">
        <f t="shared" ca="1" si="3"/>
        <v>8462.5133295270789</v>
      </c>
      <c r="O10" s="477">
        <f t="shared" ca="1" si="8"/>
        <v>9.984412465144386</v>
      </c>
      <c r="P10" s="599"/>
      <c r="Q10" s="607">
        <v>1.121</v>
      </c>
      <c r="R10" s="607">
        <v>1.1000000000000001</v>
      </c>
      <c r="S10" s="573"/>
      <c r="T10" s="583" t="s">
        <v>593</v>
      </c>
      <c r="U10" s="292" t="s">
        <v>550</v>
      </c>
      <c r="V10" s="586">
        <f t="shared" ca="1" si="4"/>
        <v>8.8049766545501784E-2</v>
      </c>
      <c r="W10" s="586">
        <f t="shared" si="5"/>
        <v>1.0372530938898774</v>
      </c>
      <c r="X10" s="586">
        <f t="shared" ca="1" si="9"/>
        <v>9.9844124651443864E-2</v>
      </c>
      <c r="Y10" s="586">
        <f t="shared" ca="1" si="6"/>
        <v>1.0108399068393614</v>
      </c>
      <c r="AA10" s="606">
        <f>'Cost of Service and Proposed $'!F128/Q28</f>
        <v>81713.180179244242</v>
      </c>
      <c r="AB10" s="606">
        <f ca="1">'Cost of Service and Proposed $'!W128/Q28</f>
        <v>92220.104935808879</v>
      </c>
    </row>
    <row r="11" spans="1:28" s="463" customFormat="1" ht="15.75" customHeight="1">
      <c r="A11" s="569"/>
      <c r="B11" s="302" t="s">
        <v>587</v>
      </c>
      <c r="C11" s="475" t="s">
        <v>560</v>
      </c>
      <c r="D11" s="291">
        <f t="shared" si="0"/>
        <v>67.444444444444443</v>
      </c>
      <c r="E11" s="291">
        <f t="shared" si="0"/>
        <v>378385.79511939187</v>
      </c>
      <c r="F11" s="291">
        <f t="shared" si="0"/>
        <v>32092.43848177883</v>
      </c>
      <c r="G11" s="291">
        <f t="shared" ca="1" si="0"/>
        <v>35024.097643994639</v>
      </c>
      <c r="H11" s="291">
        <f t="shared" ca="1" si="0"/>
        <v>2931.6591622158139</v>
      </c>
      <c r="I11" s="477">
        <f t="shared" ca="1" si="1"/>
        <v>9.1350464498991748</v>
      </c>
      <c r="J11" s="291">
        <f t="shared" ca="1" si="2"/>
        <v>35024.097643994639</v>
      </c>
      <c r="K11" s="291">
        <f t="shared" ca="1" si="2"/>
        <v>37302.470271306724</v>
      </c>
      <c r="L11" s="291">
        <f t="shared" ca="1" si="2"/>
        <v>2278.3726273120774</v>
      </c>
      <c r="M11" s="477">
        <f t="shared" ca="1" si="7"/>
        <v>6.505157250504455</v>
      </c>
      <c r="N11" s="291">
        <f t="shared" ca="1" si="3"/>
        <v>5210.0317895278913</v>
      </c>
      <c r="O11" s="477">
        <f t="shared" ca="1" si="8"/>
        <v>16.234452836876194</v>
      </c>
      <c r="P11" s="599"/>
      <c r="Q11" s="607">
        <v>0.71499999999999997</v>
      </c>
      <c r="R11" s="607">
        <v>0.7</v>
      </c>
      <c r="S11" s="573"/>
      <c r="T11" s="583" t="s">
        <v>594</v>
      </c>
      <c r="U11" s="292" t="s">
        <v>560</v>
      </c>
      <c r="V11" s="586">
        <f t="shared" ca="1" si="4"/>
        <v>0.15414174060653685</v>
      </c>
      <c r="W11" s="586">
        <f t="shared" si="5"/>
        <v>0.97768822689959201</v>
      </c>
      <c r="X11" s="586">
        <f t="shared" ca="1" si="9"/>
        <v>0.16234452836876195</v>
      </c>
      <c r="Y11" s="586">
        <f t="shared" ca="1" si="6"/>
        <v>1.0071072620230461</v>
      </c>
      <c r="AA11" s="606">
        <f>('Cost of Service and Proposed $'!G128+'Cost of Service and Proposed $'!K128)/Q28</f>
        <v>32824.818381570534</v>
      </c>
      <c r="AB11" s="606">
        <f ca="1">('Cost of Service and Proposed $'!X128+'Cost of Service and Proposed $'!AB128)/Q28</f>
        <v>37039.222809668427</v>
      </c>
    </row>
    <row r="12" spans="1:28" s="463" customFormat="1" ht="15.75" customHeight="1">
      <c r="A12" s="569"/>
      <c r="B12" s="302" t="s">
        <v>287</v>
      </c>
      <c r="C12" s="302" t="s">
        <v>563</v>
      </c>
      <c r="D12" s="291">
        <f t="shared" si="0"/>
        <v>1</v>
      </c>
      <c r="E12" s="291">
        <f t="shared" si="0"/>
        <v>544168.56528857455</v>
      </c>
      <c r="F12" s="291">
        <f t="shared" si="0"/>
        <v>38671.30532491656</v>
      </c>
      <c r="G12" s="291">
        <f t="shared" ca="1" si="0"/>
        <v>42204.374281160875</v>
      </c>
      <c r="H12" s="291">
        <f t="shared" ca="1" si="0"/>
        <v>3533.0689562443149</v>
      </c>
      <c r="I12" s="477">
        <f t="shared" ca="1" si="1"/>
        <v>9.1361512795067217</v>
      </c>
      <c r="J12" s="291">
        <f t="shared" ca="1" si="2"/>
        <v>42204.374281160875</v>
      </c>
      <c r="K12" s="291">
        <f t="shared" ca="1" si="2"/>
        <v>44955.767521329479</v>
      </c>
      <c r="L12" s="291">
        <f t="shared" ca="1" si="2"/>
        <v>2751.3932401686034</v>
      </c>
      <c r="M12" s="477">
        <f t="shared" ca="1" si="7"/>
        <v>6.5192134394390626</v>
      </c>
      <c r="N12" s="291">
        <f t="shared" ca="1" si="3"/>
        <v>6284.4621964129183</v>
      </c>
      <c r="O12" s="477">
        <f t="shared" ca="1" si="8"/>
        <v>16.25096992100687</v>
      </c>
      <c r="P12" s="599"/>
      <c r="Q12" s="607">
        <v>-4.3</v>
      </c>
      <c r="R12" s="607">
        <v>-4.24</v>
      </c>
      <c r="S12" s="573"/>
      <c r="T12" s="583" t="s">
        <v>597</v>
      </c>
      <c r="U12" s="292" t="s">
        <v>560</v>
      </c>
      <c r="V12" s="586">
        <f t="shared" ca="1" si="4"/>
        <v>0.21328171271742558</v>
      </c>
      <c r="W12" s="586">
        <f t="shared" si="5"/>
        <v>0.92500610347214951</v>
      </c>
      <c r="X12" s="586">
        <f t="shared" ca="1" si="9"/>
        <v>0.16250969921006869</v>
      </c>
      <c r="Y12" s="586">
        <f t="shared" ca="1" si="6"/>
        <v>0.95815315357087083</v>
      </c>
      <c r="AA12" s="606">
        <f>'Cost of Service and Proposed $'!H128/Q28</f>
        <v>41806.540713361785</v>
      </c>
      <c r="AB12" s="606">
        <f ca="1">'Cost of Service and Proposed $'!Y128/Q28</f>
        <v>46919.187557633268</v>
      </c>
    </row>
    <row r="13" spans="1:28" s="463" customFormat="1" ht="15.75" customHeight="1">
      <c r="A13" s="569"/>
      <c r="B13" s="302" t="s">
        <v>152</v>
      </c>
      <c r="C13" s="302" t="s">
        <v>556</v>
      </c>
      <c r="D13" s="291">
        <f t="shared" si="0"/>
        <v>5140.8634747118504</v>
      </c>
      <c r="E13" s="291">
        <f t="shared" si="0"/>
        <v>152841.48716573825</v>
      </c>
      <c r="F13" s="291">
        <f t="shared" si="0"/>
        <v>14475.016400296861</v>
      </c>
      <c r="G13" s="291">
        <f t="shared" ca="1" si="0"/>
        <v>15792.075428738721</v>
      </c>
      <c r="H13" s="291">
        <f t="shared" ca="1" si="0"/>
        <v>1317.0590284418595</v>
      </c>
      <c r="I13" s="477">
        <f t="shared" ca="1" si="1"/>
        <v>9.0988430825877931</v>
      </c>
      <c r="J13" s="291">
        <f t="shared" ca="1" si="2"/>
        <v>15792.075428738721</v>
      </c>
      <c r="K13" s="291">
        <f t="shared" ca="1" si="2"/>
        <v>16824.662649711008</v>
      </c>
      <c r="L13" s="291">
        <f t="shared" ca="1" si="2"/>
        <v>1032.5872209722875</v>
      </c>
      <c r="M13" s="477">
        <f t="shared" ca="1" si="7"/>
        <v>6.538641647399718</v>
      </c>
      <c r="N13" s="291">
        <f t="shared" ca="1" si="3"/>
        <v>2349.646249414147</v>
      </c>
      <c r="O13" s="477">
        <f t="shared" ca="1" si="8"/>
        <v>16.232425473217145</v>
      </c>
      <c r="P13" s="599"/>
      <c r="Q13" s="607">
        <v>-3.46</v>
      </c>
      <c r="R13" s="607">
        <v>-3.43</v>
      </c>
      <c r="S13" s="573"/>
      <c r="T13" s="583" t="s">
        <v>595</v>
      </c>
      <c r="U13" s="292" t="s">
        <v>556</v>
      </c>
      <c r="V13" s="586">
        <f t="shared" ca="1" si="4"/>
        <v>0.20780389613458694</v>
      </c>
      <c r="W13" s="586">
        <f t="shared" si="5"/>
        <v>0.94366250110390337</v>
      </c>
      <c r="X13" s="586">
        <f t="shared" ca="1" si="9"/>
        <v>0.16232425473217144</v>
      </c>
      <c r="Y13" s="586">
        <f t="shared" ca="1" si="6"/>
        <v>0.96234517743487424</v>
      </c>
      <c r="AA13" s="606">
        <f>'Cost of Service and Proposed $'!I128/Q28</f>
        <v>15339.187880586418</v>
      </c>
      <c r="AB13" s="606">
        <f ca="1">'Cost of Service and Proposed $'!Z128/Q28</f>
        <v>17482.981204890591</v>
      </c>
    </row>
    <row r="14" spans="1:28" ht="15.75" customHeight="1">
      <c r="A14" s="569"/>
      <c r="B14" s="302"/>
      <c r="C14" s="475"/>
      <c r="D14" s="291"/>
      <c r="E14" s="291"/>
      <c r="F14" s="291"/>
      <c r="G14" s="291"/>
      <c r="H14" s="291"/>
      <c r="I14" s="477"/>
      <c r="J14" s="291"/>
      <c r="K14" s="291"/>
      <c r="L14" s="291"/>
      <c r="M14" s="477"/>
      <c r="N14" s="291"/>
      <c r="O14" s="477"/>
      <c r="P14" s="599"/>
      <c r="Q14" s="607"/>
      <c r="R14" s="607"/>
      <c r="S14" s="573"/>
      <c r="T14" s="584" t="s">
        <v>591</v>
      </c>
      <c r="U14" s="283" t="s">
        <v>167</v>
      </c>
      <c r="V14" s="587">
        <f ca="1">AB14/F19-1</f>
        <v>0.20354268039106094</v>
      </c>
      <c r="W14" s="587">
        <f>F19/AA14</f>
        <v>0.96095934896191548</v>
      </c>
      <c r="X14" s="587">
        <f ca="1">O19/100</f>
        <v>0.1622348183801125</v>
      </c>
      <c r="Y14" s="587">
        <f ca="1">K19/AB14</f>
        <v>0.96567810790264086</v>
      </c>
      <c r="AA14" s="295">
        <f>'Cost of Service and Proposed $'!J128/Q28</f>
        <v>924.71834957492604</v>
      </c>
      <c r="AB14" s="295">
        <f ca="1">'Cost of Service and Proposed $'!AA128/Q28</f>
        <v>1069.4881769280239</v>
      </c>
    </row>
    <row r="15" spans="1:28" ht="15.75" customHeight="1">
      <c r="A15" s="569"/>
      <c r="B15" s="302" t="s">
        <v>169</v>
      </c>
      <c r="C15" s="475" t="s">
        <v>551</v>
      </c>
      <c r="D15" s="291">
        <f t="shared" ref="D15:H18" si="10">SUMIFS(D$32:D$71,$B$32:$B$71,$B15)</f>
        <v>2208.4166666666665</v>
      </c>
      <c r="E15" s="291">
        <f t="shared" si="10"/>
        <v>2856.7467026120999</v>
      </c>
      <c r="F15" s="291">
        <f t="shared" si="10"/>
        <v>295.39940153675803</v>
      </c>
      <c r="G15" s="291">
        <f t="shared" ca="1" si="10"/>
        <v>320.7281493408247</v>
      </c>
      <c r="H15" s="291">
        <f t="shared" ca="1" si="10"/>
        <v>25.328747804066612</v>
      </c>
      <c r="I15" s="477">
        <f t="shared" ca="1" si="1"/>
        <v>8.5744072846115191</v>
      </c>
      <c r="J15" s="291">
        <f t="shared" ref="J15:L18" ca="1" si="11">SUMIFS(J$32:J$71,$B$32:$B$71,$B15)</f>
        <v>320.7281493408247</v>
      </c>
      <c r="K15" s="291">
        <f t="shared" ca="1" si="11"/>
        <v>340.6657360095395</v>
      </c>
      <c r="L15" s="291">
        <f t="shared" ca="1" si="11"/>
        <v>19.937586668714857</v>
      </c>
      <c r="M15" s="477">
        <f t="shared" ca="1" si="7"/>
        <v>6.2163507349421954</v>
      </c>
      <c r="N15" s="291">
        <f ca="1">SUMIFS(N$32:N$71,$B$32:$B$71,$B15)</f>
        <v>45.266334472781473</v>
      </c>
      <c r="O15" s="477">
        <f t="shared" ca="1" si="8"/>
        <v>15.323773249807601</v>
      </c>
      <c r="P15" s="599"/>
      <c r="Q15" s="607"/>
      <c r="R15" s="607"/>
      <c r="S15" s="573"/>
      <c r="T15" s="300" t="s">
        <v>195</v>
      </c>
      <c r="U15" s="581"/>
      <c r="V15" s="588">
        <f ca="1">AB15/F25-1</f>
        <v>0.13508081928859017</v>
      </c>
      <c r="W15" s="588">
        <f>F25/AA15</f>
        <v>0.99999999990021893</v>
      </c>
      <c r="X15" s="588">
        <f ca="1">O25/100</f>
        <v>0.13507968698096517</v>
      </c>
      <c r="Y15" s="588">
        <f ca="1">K25/AB15</f>
        <v>0.99999900244316897</v>
      </c>
      <c r="AA15" s="295">
        <f>SUM(AA8:AA14)+SUM(F21:F23)</f>
        <v>405024.3159411503</v>
      </c>
      <c r="AB15" s="295">
        <f ca="1">SUM(AB8:AB14)+SUM(K21:K23)</f>
        <v>459735.33232440881</v>
      </c>
    </row>
    <row r="16" spans="1:28" ht="15.75" customHeight="1">
      <c r="A16" s="569"/>
      <c r="B16" s="302" t="s">
        <v>170</v>
      </c>
      <c r="C16" s="302" t="s">
        <v>552</v>
      </c>
      <c r="D16" s="291">
        <f t="shared" si="10"/>
        <v>225.91666666666666</v>
      </c>
      <c r="E16" s="291">
        <f t="shared" si="10"/>
        <v>1820.2173769310609</v>
      </c>
      <c r="F16" s="291">
        <f t="shared" si="10"/>
        <v>464.27096133082063</v>
      </c>
      <c r="G16" s="291">
        <f t="shared" ca="1" si="10"/>
        <v>507.76501687532857</v>
      </c>
      <c r="H16" s="291">
        <f t="shared" ca="1" si="10"/>
        <v>43.494055544507944</v>
      </c>
      <c r="I16" s="477">
        <f t="shared" ca="1" si="1"/>
        <v>9.3682481066300944</v>
      </c>
      <c r="J16" s="291">
        <f t="shared" ca="1" si="11"/>
        <v>507.76501687532857</v>
      </c>
      <c r="K16" s="291">
        <f t="shared" ca="1" si="11"/>
        <v>541.85525418708471</v>
      </c>
      <c r="L16" s="291">
        <f t="shared" ca="1" si="11"/>
        <v>34.090237311756141</v>
      </c>
      <c r="M16" s="477">
        <f t="shared" ca="1" si="7"/>
        <v>6.7137821982183361</v>
      </c>
      <c r="N16" s="291">
        <f ca="1">SUMIFS(N$32:N$71,$B$32:$B$71,$B16)</f>
        <v>77.584292856264085</v>
      </c>
      <c r="O16" s="477">
        <f t="shared" ca="1" si="8"/>
        <v>16.71099407851629</v>
      </c>
      <c r="P16" s="599"/>
      <c r="Q16" s="607"/>
      <c r="R16" s="607"/>
      <c r="S16" s="573"/>
      <c r="T16" s="473" t="s">
        <v>596</v>
      </c>
    </row>
    <row r="17" spans="1:23" ht="15.75" customHeight="1">
      <c r="A17" s="569"/>
      <c r="B17" s="302" t="s">
        <v>227</v>
      </c>
      <c r="C17" s="302" t="s">
        <v>554</v>
      </c>
      <c r="D17" s="291">
        <f t="shared" si="10"/>
        <v>232.58333333333334</v>
      </c>
      <c r="E17" s="291">
        <f t="shared" si="10"/>
        <v>1961.4729048762861</v>
      </c>
      <c r="F17" s="291">
        <f t="shared" si="10"/>
        <v>107.67492750922015</v>
      </c>
      <c r="G17" s="291">
        <f t="shared" ca="1" si="10"/>
        <v>117.81199478189542</v>
      </c>
      <c r="H17" s="291">
        <f t="shared" ca="1" si="10"/>
        <v>10.137067272675267</v>
      </c>
      <c r="I17" s="477">
        <f t="shared" ca="1" si="1"/>
        <v>9.4145104224075133</v>
      </c>
      <c r="J17" s="291">
        <f t="shared" ca="1" si="11"/>
        <v>117.81199478189542</v>
      </c>
      <c r="K17" s="291">
        <f t="shared" ca="1" si="11"/>
        <v>125.71045969852156</v>
      </c>
      <c r="L17" s="291">
        <f t="shared" ca="1" si="11"/>
        <v>7.8984649166261391</v>
      </c>
      <c r="M17" s="477">
        <f t="shared" ca="1" si="7"/>
        <v>6.7042960534269156</v>
      </c>
      <c r="N17" s="291">
        <f ca="1">SUMIFS(N$32:N$71,$B$32:$B$71,$B17)</f>
        <v>18.035532189301406</v>
      </c>
      <c r="O17" s="477">
        <f t="shared" ca="1" si="8"/>
        <v>16.749983126533362</v>
      </c>
      <c r="P17" s="599"/>
      <c r="Q17" s="607"/>
      <c r="R17" s="607"/>
      <c r="S17" s="573"/>
      <c r="T17" s="473"/>
    </row>
    <row r="18" spans="1:23" ht="15.75" customHeight="1">
      <c r="A18" s="569"/>
      <c r="B18" s="306" t="s">
        <v>171</v>
      </c>
      <c r="C18" s="306" t="s">
        <v>561</v>
      </c>
      <c r="D18" s="291">
        <f t="shared" si="10"/>
        <v>25.575035561877666</v>
      </c>
      <c r="E18" s="291">
        <f t="shared" si="10"/>
        <v>314.48340809632003</v>
      </c>
      <c r="F18" s="291">
        <f t="shared" si="10"/>
        <v>21.271452803859034</v>
      </c>
      <c r="G18" s="291">
        <f t="shared" ca="1" si="10"/>
        <v>23.11237203906807</v>
      </c>
      <c r="H18" s="291">
        <f t="shared" ca="1" si="10"/>
        <v>1.8409192352090358</v>
      </c>
      <c r="I18" s="477">
        <f t="shared" ca="1" si="1"/>
        <v>8.6544123346152411</v>
      </c>
      <c r="J18" s="291">
        <f t="shared" ca="1" si="11"/>
        <v>23.11237203906807</v>
      </c>
      <c r="K18" s="291">
        <f t="shared" ca="1" si="11"/>
        <v>24.54986922495317</v>
      </c>
      <c r="L18" s="291">
        <f t="shared" ca="1" si="11"/>
        <v>1.4374971858850998</v>
      </c>
      <c r="M18" s="477">
        <f t="shared" ca="1" si="7"/>
        <v>6.2196004090589314</v>
      </c>
      <c r="N18" s="291">
        <f ca="1">SUMIFS(N$32:N$71,$B$32:$B$71,$B18)</f>
        <v>3.2784164210941356</v>
      </c>
      <c r="O18" s="477">
        <f t="shared" ca="1" si="8"/>
        <v>15.412282608639549</v>
      </c>
      <c r="P18" s="599"/>
      <c r="Q18" s="607"/>
      <c r="R18" s="607"/>
      <c r="S18" s="573"/>
      <c r="T18" s="473"/>
    </row>
    <row r="19" spans="1:23" ht="15.75" customHeight="1">
      <c r="A19" s="569"/>
      <c r="B19" s="424" t="s">
        <v>331</v>
      </c>
      <c r="C19" s="479" t="s">
        <v>555</v>
      </c>
      <c r="D19" s="213">
        <f>D15+D16+D17+D18</f>
        <v>2692.491702228544</v>
      </c>
      <c r="E19" s="213">
        <f t="shared" ref="E19:N19" si="12">E15+E16+E17+E18</f>
        <v>6952.9203925157663</v>
      </c>
      <c r="F19" s="340">
        <f t="shared" si="12"/>
        <v>888.61674318065786</v>
      </c>
      <c r="G19" s="340">
        <f t="shared" ca="1" si="12"/>
        <v>969.41753303711675</v>
      </c>
      <c r="H19" s="340">
        <f t="shared" ca="1" si="12"/>
        <v>80.800789856458863</v>
      </c>
      <c r="I19" s="514">
        <f t="shared" ca="1" si="1"/>
        <v>9.0928727684384718</v>
      </c>
      <c r="J19" s="340">
        <f t="shared" ca="1" si="12"/>
        <v>969.41753303711675</v>
      </c>
      <c r="K19" s="340">
        <f t="shared" ca="1" si="12"/>
        <v>1032.7813191200989</v>
      </c>
      <c r="L19" s="340">
        <f t="shared" ca="1" si="12"/>
        <v>63.363786082982237</v>
      </c>
      <c r="M19" s="514">
        <f t="shared" ca="1" si="7"/>
        <v>6.5362739917100496</v>
      </c>
      <c r="N19" s="340">
        <f t="shared" ca="1" si="12"/>
        <v>144.16457593944111</v>
      </c>
      <c r="O19" s="514">
        <f t="shared" ca="1" si="8"/>
        <v>16.223481838011249</v>
      </c>
      <c r="P19" s="600"/>
      <c r="Q19" s="608">
        <v>-3.35</v>
      </c>
      <c r="R19" s="608">
        <v>-3.34</v>
      </c>
      <c r="S19" s="573"/>
    </row>
    <row r="20" spans="1:23" ht="15.75" customHeight="1">
      <c r="A20" s="473"/>
      <c r="B20" s="331"/>
      <c r="C20" s="473"/>
      <c r="D20" s="291"/>
      <c r="E20" s="291"/>
      <c r="F20" s="141"/>
      <c r="G20" s="141"/>
      <c r="H20" s="141"/>
      <c r="I20" s="512"/>
      <c r="J20" s="141"/>
      <c r="K20" s="141"/>
      <c r="L20" s="141"/>
      <c r="M20" s="512"/>
      <c r="N20" s="141"/>
      <c r="O20" s="512"/>
      <c r="P20" s="600"/>
    </row>
    <row r="21" spans="1:23" ht="15.75" customHeight="1">
      <c r="A21" s="473"/>
      <c r="B21" s="102" t="s">
        <v>558</v>
      </c>
      <c r="C21" s="92" t="s">
        <v>369</v>
      </c>
      <c r="D21" s="291">
        <f t="shared" ref="D21:H23" si="13">SUMIFS(D$32:D$71,$C$32:$C$71,$C21)</f>
        <v>0</v>
      </c>
      <c r="E21" s="291">
        <f t="shared" si="13"/>
        <v>0</v>
      </c>
      <c r="F21" s="291">
        <f t="shared" si="13"/>
        <v>-294.83800000000002</v>
      </c>
      <c r="G21" s="291">
        <f t="shared" si="13"/>
        <v>-294.83800000000002</v>
      </c>
      <c r="H21" s="291">
        <f t="shared" si="13"/>
        <v>0</v>
      </c>
      <c r="I21" s="477">
        <f t="shared" si="1"/>
        <v>0</v>
      </c>
      <c r="J21" s="291">
        <f t="shared" ref="J21:L23" si="14">SUMIFS(J$32:J$71,$C$32:$C$71,$C21)</f>
        <v>-294.83800000000002</v>
      </c>
      <c r="K21" s="291">
        <f t="shared" si="14"/>
        <v>-294.83800000000002</v>
      </c>
      <c r="L21" s="291">
        <f t="shared" si="14"/>
        <v>0</v>
      </c>
      <c r="M21" s="477">
        <f t="shared" si="7"/>
        <v>0</v>
      </c>
      <c r="N21" s="291">
        <f>SUMIFS(N$32:N$71,$C$32:$C$71,$C21)</f>
        <v>0</v>
      </c>
      <c r="O21" s="477">
        <f t="shared" si="8"/>
        <v>0</v>
      </c>
      <c r="P21" s="599"/>
      <c r="Q21" s="638"/>
      <c r="V21" s="574"/>
      <c r="W21" s="575"/>
    </row>
    <row r="22" spans="1:23" ht="15.75" customHeight="1">
      <c r="A22" s="473"/>
      <c r="B22" s="102" t="s">
        <v>558</v>
      </c>
      <c r="C22" s="92" t="s">
        <v>370</v>
      </c>
      <c r="D22" s="291">
        <f t="shared" si="13"/>
        <v>0</v>
      </c>
      <c r="E22" s="291">
        <f t="shared" si="13"/>
        <v>0</v>
      </c>
      <c r="F22" s="291">
        <f t="shared" si="13"/>
        <v>-267.67099999999999</v>
      </c>
      <c r="G22" s="291">
        <f t="shared" si="13"/>
        <v>-267.67099999999999</v>
      </c>
      <c r="H22" s="291">
        <f t="shared" si="13"/>
        <v>0</v>
      </c>
      <c r="I22" s="477">
        <f t="shared" si="1"/>
        <v>0</v>
      </c>
      <c r="J22" s="291">
        <f t="shared" si="14"/>
        <v>-267.67099999999999</v>
      </c>
      <c r="K22" s="291">
        <f t="shared" si="14"/>
        <v>-267.67099999999999</v>
      </c>
      <c r="L22" s="291">
        <f t="shared" si="14"/>
        <v>0</v>
      </c>
      <c r="M22" s="477">
        <f t="shared" si="7"/>
        <v>0</v>
      </c>
      <c r="N22" s="291">
        <f>SUMIFS(N$32:N$71,$C$32:$C$71,$C22)</f>
        <v>0</v>
      </c>
      <c r="O22" s="477">
        <f t="shared" si="8"/>
        <v>0</v>
      </c>
      <c r="P22" s="599"/>
      <c r="Q22" s="577"/>
      <c r="V22" s="572"/>
      <c r="W22" s="463"/>
    </row>
    <row r="23" spans="1:23" ht="15.75" customHeight="1">
      <c r="A23" s="473"/>
      <c r="B23" s="102" t="s">
        <v>558</v>
      </c>
      <c r="C23" s="473" t="s">
        <v>352</v>
      </c>
      <c r="D23" s="291">
        <f t="shared" si="13"/>
        <v>0</v>
      </c>
      <c r="E23" s="291">
        <f t="shared" si="13"/>
        <v>0</v>
      </c>
      <c r="F23" s="291">
        <f t="shared" si="13"/>
        <v>626.23389999999995</v>
      </c>
      <c r="G23" s="291">
        <f t="shared" si="13"/>
        <v>626.23389999999995</v>
      </c>
      <c r="H23" s="291">
        <f t="shared" si="13"/>
        <v>0</v>
      </c>
      <c r="I23" s="477">
        <f t="shared" si="1"/>
        <v>0</v>
      </c>
      <c r="J23" s="291">
        <f t="shared" si="14"/>
        <v>626.23389999999995</v>
      </c>
      <c r="K23" s="291">
        <f t="shared" si="14"/>
        <v>626.23389999999995</v>
      </c>
      <c r="L23" s="291">
        <f t="shared" si="14"/>
        <v>0</v>
      </c>
      <c r="M23" s="477">
        <f t="shared" si="7"/>
        <v>0</v>
      </c>
      <c r="N23" s="291">
        <f>SUMIFS(N$32:N$71,$C$32:$C$71,$C23)</f>
        <v>0</v>
      </c>
      <c r="O23" s="477">
        <f t="shared" si="8"/>
        <v>0</v>
      </c>
      <c r="P23" s="599"/>
      <c r="Q23" s="609" t="s">
        <v>507</v>
      </c>
      <c r="R23" s="465"/>
      <c r="S23" s="577"/>
      <c r="V23" s="572"/>
      <c r="W23" s="463"/>
    </row>
    <row r="24" spans="1:23" ht="15.75" customHeight="1">
      <c r="A24" s="473"/>
      <c r="B24" s="306"/>
      <c r="C24" s="486"/>
      <c r="D24" s="295"/>
      <c r="E24" s="295"/>
      <c r="F24" s="142"/>
      <c r="G24" s="142"/>
      <c r="H24" s="142"/>
      <c r="I24" s="513"/>
      <c r="J24" s="142"/>
      <c r="K24" s="142"/>
      <c r="L24" s="142"/>
      <c r="M24" s="513"/>
      <c r="N24" s="142"/>
      <c r="O24" s="513"/>
      <c r="P24" s="600"/>
      <c r="Q24" s="610">
        <f>'Cost of Service and Proposed $'!T10/Q28</f>
        <v>26763.199116527856</v>
      </c>
      <c r="R24" s="213">
        <f>'Cost of Service and Proposed $'!AC10/Q28</f>
        <v>27947.817266730788</v>
      </c>
      <c r="S24" s="643" t="s">
        <v>619</v>
      </c>
      <c r="V24" s="572"/>
      <c r="W24" s="463"/>
    </row>
    <row r="25" spans="1:23" ht="15.75" customHeight="1">
      <c r="A25" s="473"/>
      <c r="B25" s="424" t="s">
        <v>195</v>
      </c>
      <c r="C25" s="487" t="s">
        <v>195</v>
      </c>
      <c r="D25" s="213">
        <f>SUMIFS(D$32:D$71,$B$32:$B$71,$B25)</f>
        <v>140527.93088372098</v>
      </c>
      <c r="E25" s="213">
        <f>SUMIFS(E$32:E$71,$B$32:$B$71,$B25)</f>
        <v>4194177.378937826</v>
      </c>
      <c r="F25" s="340">
        <f>SUMIFS(F$32:F$71,$B$32:$B$71,$B25)</f>
        <v>405024.31590073655</v>
      </c>
      <c r="G25" s="340">
        <f ca="1">SUMIFS(G$32:G$71,$B$32:$B$71,$B25)</f>
        <v>431787.33035114367</v>
      </c>
      <c r="H25" s="340">
        <f ca="1">SUMIFS(H$32:H$71,$B$32:$B$71,$B25)</f>
        <v>26763.014450407143</v>
      </c>
      <c r="I25" s="514">
        <f t="shared" ca="1" si="1"/>
        <v>6.6077549914228424</v>
      </c>
      <c r="J25" s="340">
        <f ca="1">SUMIFS(J$32:J$71,$B$32:$B$71,$B25)</f>
        <v>431787.33035114367</v>
      </c>
      <c r="K25" s="434">
        <f ca="1">SUMIFS(K$32:K$71,$B$32:$B$71,$B25)</f>
        <v>459734.87371228758</v>
      </c>
      <c r="L25" s="340">
        <f ca="1">SUMIFS(L$32:L$71,$B$32:$B$71,$B25)</f>
        <v>27947.543361143904</v>
      </c>
      <c r="M25" s="514">
        <f t="shared" ca="1" si="7"/>
        <v>6.4725251059163877</v>
      </c>
      <c r="N25" s="340">
        <f ca="1">SUMIFS(N$32:N$71,$B$32:$B$71,$B25)</f>
        <v>54710.557811551051</v>
      </c>
      <c r="O25" s="514">
        <f t="shared" ca="1" si="8"/>
        <v>13.507968698096517</v>
      </c>
      <c r="P25" s="600"/>
      <c r="Q25" s="610">
        <f ca="1">H25</f>
        <v>26763.014450407143</v>
      </c>
      <c r="R25" s="213">
        <f ca="1">L25</f>
        <v>27947.543361143904</v>
      </c>
      <c r="S25" s="643" t="s">
        <v>620</v>
      </c>
    </row>
    <row r="26" spans="1:23" ht="15.75" customHeight="1">
      <c r="A26" s="460" t="s">
        <v>564</v>
      </c>
      <c r="B26" s="497"/>
      <c r="C26" s="498"/>
      <c r="D26" s="365"/>
      <c r="E26" s="365"/>
      <c r="F26" s="385"/>
      <c r="G26" s="385"/>
      <c r="H26" s="385"/>
      <c r="I26" s="515"/>
      <c r="J26" s="385"/>
      <c r="K26" s="385"/>
      <c r="L26" s="385"/>
      <c r="M26" s="499"/>
      <c r="N26" s="365"/>
      <c r="O26" s="589"/>
      <c r="P26" s="599"/>
      <c r="Q26" s="610">
        <f ca="1">Q24-Q25</f>
        <v>0.18466612071279087</v>
      </c>
      <c r="R26" s="576">
        <f ca="1">R24-R25</f>
        <v>0.27390558688421152</v>
      </c>
      <c r="S26" s="643" t="s">
        <v>621</v>
      </c>
      <c r="V26" s="571"/>
    </row>
    <row r="27" spans="1:23" ht="15.75" customHeight="1">
      <c r="A27" s="470" t="s">
        <v>565</v>
      </c>
      <c r="B27" s="471"/>
      <c r="C27" s="471"/>
      <c r="D27" s="471"/>
      <c r="E27" s="471"/>
      <c r="F27" s="411"/>
      <c r="G27" s="411"/>
      <c r="H27" s="411"/>
      <c r="I27" s="411"/>
      <c r="J27" s="411"/>
      <c r="K27" s="411"/>
      <c r="L27" s="411"/>
      <c r="M27" s="464"/>
      <c r="N27" s="464"/>
      <c r="O27" s="590"/>
      <c r="P27" s="577"/>
      <c r="Q27" s="577"/>
      <c r="V27" s="571"/>
    </row>
    <row r="28" spans="1:23" ht="15.75" customHeight="1">
      <c r="A28" s="303"/>
      <c r="B28" s="493"/>
      <c r="C28" s="493"/>
      <c r="D28" s="500" t="s">
        <v>545</v>
      </c>
      <c r="E28" s="364"/>
      <c r="F28" s="346" t="str">
        <f>"Revenue ($"&amp;RIGHT(Q28,LEN(Q28)-1)&amp;")"</f>
        <v>Revenue ($000)</v>
      </c>
      <c r="G28" s="516"/>
      <c r="H28" s="516"/>
      <c r="I28" s="516"/>
      <c r="J28" s="516"/>
      <c r="K28" s="516"/>
      <c r="L28" s="516"/>
      <c r="M28" s="466"/>
      <c r="N28" s="466"/>
      <c r="O28" s="465"/>
      <c r="P28" s="577"/>
      <c r="Q28" s="598">
        <v>1000</v>
      </c>
      <c r="V28" s="571"/>
    </row>
    <row r="29" spans="1:23" ht="15.75" customHeight="1">
      <c r="A29" s="467"/>
      <c r="B29" s="496"/>
      <c r="C29" s="494"/>
      <c r="D29" s="363" t="s">
        <v>476</v>
      </c>
      <c r="E29" s="291"/>
      <c r="F29" s="509" t="s">
        <v>501</v>
      </c>
      <c r="G29" s="412"/>
      <c r="H29" s="412"/>
      <c r="I29" s="510"/>
      <c r="J29" s="509" t="s">
        <v>503</v>
      </c>
      <c r="K29" s="412"/>
      <c r="L29" s="412"/>
      <c r="M29" s="472"/>
      <c r="N29" s="470" t="s">
        <v>1</v>
      </c>
      <c r="O29" s="472"/>
      <c r="P29" s="577"/>
      <c r="Q29" s="577"/>
      <c r="V29" s="571"/>
    </row>
    <row r="30" spans="1:23" ht="15.75" customHeight="1">
      <c r="A30" s="467"/>
      <c r="B30" s="496"/>
      <c r="C30" s="494"/>
      <c r="D30" s="363" t="s">
        <v>454</v>
      </c>
      <c r="E30" s="501" t="s">
        <v>546</v>
      </c>
      <c r="F30" s="447"/>
      <c r="G30" s="511"/>
      <c r="H30" s="511"/>
      <c r="I30" s="511" t="s">
        <v>494</v>
      </c>
      <c r="J30" s="447"/>
      <c r="K30" s="511"/>
      <c r="L30" s="511"/>
      <c r="M30" s="490" t="s">
        <v>494</v>
      </c>
      <c r="N30" s="491"/>
      <c r="O30" s="490" t="s">
        <v>494</v>
      </c>
      <c r="P30" s="577"/>
    </row>
    <row r="31" spans="1:23" s="463" customFormat="1" ht="15.75" customHeight="1">
      <c r="A31" s="306" t="s">
        <v>153</v>
      </c>
      <c r="B31" s="495" t="s">
        <v>547</v>
      </c>
      <c r="C31" s="495" t="s">
        <v>548</v>
      </c>
      <c r="D31" s="284" t="s">
        <v>214</v>
      </c>
      <c r="E31" s="367" t="s">
        <v>549</v>
      </c>
      <c r="F31" s="307" t="s">
        <v>406</v>
      </c>
      <c r="G31" s="307" t="s">
        <v>412</v>
      </c>
      <c r="H31" s="307" t="s">
        <v>414</v>
      </c>
      <c r="I31" s="307" t="s">
        <v>414</v>
      </c>
      <c r="J31" s="307" t="s">
        <v>406</v>
      </c>
      <c r="K31" s="307" t="s">
        <v>412</v>
      </c>
      <c r="L31" s="307" t="s">
        <v>414</v>
      </c>
      <c r="M31" s="345" t="s">
        <v>414</v>
      </c>
      <c r="N31" s="345" t="s">
        <v>414</v>
      </c>
      <c r="O31" s="345" t="s">
        <v>414</v>
      </c>
      <c r="P31" s="578"/>
    </row>
    <row r="32" spans="1:23" s="463" customFormat="1" ht="15.75" customHeight="1">
      <c r="A32" s="475"/>
      <c r="B32" s="302"/>
      <c r="C32" s="302"/>
      <c r="D32" s="488"/>
      <c r="E32" s="482"/>
      <c r="F32" s="414"/>
      <c r="G32" s="414"/>
      <c r="H32" s="414"/>
      <c r="I32" s="414"/>
      <c r="J32" s="414"/>
      <c r="K32" s="414"/>
      <c r="L32" s="414"/>
      <c r="M32" s="483"/>
      <c r="N32" s="481"/>
      <c r="O32" s="481"/>
      <c r="P32" s="578"/>
    </row>
    <row r="33" spans="1:16" s="463" customFormat="1" ht="15.75" customHeight="1">
      <c r="A33" s="475" t="s">
        <v>4</v>
      </c>
      <c r="B33" s="302" t="s">
        <v>169</v>
      </c>
      <c r="C33" s="302" t="s">
        <v>551</v>
      </c>
      <c r="D33" s="299" cm="1">
        <f t="array" ref="D33">IF(OR(B33={"Schedule 15","Schedule 51","Schedule 53"}),SUMIFS(RVN!H:H,RVN!A:A,A33,RVN!J:J,B33)/12,SUMIFS('Normalized Units'!I:I,'Normalized Units'!H:H,"Bill",'Normalized Units'!C:C,B33,'Normalized Units'!D:D,A33)/12+SUM(SUMIFS('Normalized Units'!I:I,'Normalized Units'!H:H,{"Annual Bill","Load Size","Load Size Minimum"},'Normalized Units'!C:C,B33,'Normalized Units'!D:D,A33)))</f>
        <v>967.33333333333337</v>
      </c>
      <c r="E33" s="291">
        <f>SUMIFS('Normalized Units'!I:I,'Normalized Units'!B:B,"Normalized Billing Units",'Normalized Units'!C:C,B33,'Normalized Units'!D:D,A33,'Normalized Units'!H:H,"kWh*")/$Q$28</f>
        <v>884.81882939996137</v>
      </c>
      <c r="F33" s="141">
        <f>SUMIFS('Sch.15,51,53,54'!$G:$G,'Sch.15,51,53,54'!$A:$A,F$75&amp;F$31,'Sch.15,51,53,54'!$B:$B,"$",'Sch.15,51,53,54'!$C:$C,$B33,'Sch.15,51,53,54'!$D:$D,$A33)/$Q$28</f>
        <v>108.03040631504476</v>
      </c>
      <c r="G33" s="141">
        <f ca="1">SUMIFS('Sch.15,51,53,54'!$G:$G,'Sch.15,51,53,54'!$A:$A,G$75&amp;G$31,'Sch.15,51,53,54'!$B:$B,"$",'Sch.15,51,53,54'!$C:$C,$B33,'Sch.15,51,53,54'!$D:$D,$A33)/$Q$28</f>
        <v>117.1692951616406</v>
      </c>
      <c r="H33" s="141">
        <f ca="1">G33-F33</f>
        <v>9.1388888465958473</v>
      </c>
      <c r="I33" s="512">
        <f ca="1">IFERROR(H33/F33*100,0)</f>
        <v>8.4595524152195356</v>
      </c>
      <c r="J33" s="141">
        <f ca="1">G33</f>
        <v>117.1692951616406</v>
      </c>
      <c r="K33" s="141">
        <f ca="1">SUMIFS('Sch.15,51,53,54'!$G:$G,'Sch.15,51,53,54'!$A:$A,K$75&amp;K$31,'Sch.15,51,53,54'!$B:$B,"$",'Sch.15,51,53,54'!$C:$C,$B33,'Sch.15,51,53,54'!$D:$D,$A33)/$Q$28</f>
        <v>124.37948460065493</v>
      </c>
      <c r="L33" s="141">
        <f ca="1">K33-J33</f>
        <v>7.2101894390143286</v>
      </c>
      <c r="M33" s="477">
        <f ca="1">IFERROR(L33/J33*100,0)</f>
        <v>6.1536509450428367</v>
      </c>
      <c r="N33" s="291">
        <f ca="1">K33-F33</f>
        <v>16.349078285610176</v>
      </c>
      <c r="O33" s="477">
        <f ca="1">IFERROR(N33/F33*100,0)</f>
        <v>15.133774687407925</v>
      </c>
      <c r="P33" s="599"/>
    </row>
    <row r="34" spans="1:16" s="463" customFormat="1" ht="15.75" customHeight="1">
      <c r="A34" s="475" t="s">
        <v>4</v>
      </c>
      <c r="B34" s="302" t="s">
        <v>422</v>
      </c>
      <c r="C34" s="302" t="s">
        <v>4</v>
      </c>
      <c r="D34" s="299" cm="1">
        <f t="array" ref="D34">IF(OR(B34={"Schedule 15","Schedule 51","Schedule 53"}),SUMIFS(RVN!H:H,RVN!A:A,A34,RVN!J:J,B34)/12,SUMIFS('Normalized Units'!I:I,'Normalized Units'!H:H,"Bill",'Normalized Units'!C:C,B34,'Normalized Units'!D:D,A34)/12+SUM(SUMIFS('Normalized Units'!I:I,'Normalized Units'!H:H,{"Annual Bill","Load Size","Load Size Minimum"},'Normalized Units'!C:C,B34,'Normalized Units'!D:D,A34)))</f>
        <v>110741.69655913977</v>
      </c>
      <c r="E34" s="291">
        <f>SUMIFS('Normalized Units'!I:I,'Normalized Units'!B:B,"Normalized Billing Units",'Normalized Units'!C:C,B34,'Normalized Units'!D:D,A34,'Normalized Units'!H:H,"kWh*")/$Q$28</f>
        <v>1631466.9598382837</v>
      </c>
      <c r="F34" s="141">
        <f>SUMIFS('Sch.16,17,19'!$Q:$Q,'Sch.16,17,19'!$L:$L,F$75&amp;F$31,'Sch.16,17,19'!$M:$M,"$")/$Q$28</f>
        <v>176071.75485958633</v>
      </c>
      <c r="G34" s="141">
        <f ca="1">SUMIFS('Sch.16,17,19'!$Q:$Q,'Sch.16,17,19'!$L:$L,G$75&amp;G$31,'Sch.16,17,19'!$M:$M,"$")/$Q28</f>
        <v>192165.62234420583</v>
      </c>
      <c r="H34" s="141">
        <f t="shared" ref="H34:H39" ca="1" si="15">G34-F34</f>
        <v>16093.867484619492</v>
      </c>
      <c r="I34" s="512">
        <f t="shared" ref="I34:I39" ca="1" si="16">IFERROR(H34/F34*100,0)</f>
        <v>9.14051631816473</v>
      </c>
      <c r="J34" s="141">
        <f t="shared" ref="J34:J39" ca="1" si="17">G34</f>
        <v>192165.62234420583</v>
      </c>
      <c r="K34" s="141">
        <f ca="1">SUMIFS('Sch.16,17,19'!$Q:$Q,'Sch.16,17,19'!$L:$L,K$75&amp;K$31,'Sch.16,17,19'!$M:$M,"$")/$Q28</f>
        <v>204578.71140072282</v>
      </c>
      <c r="L34" s="141">
        <f t="shared" ref="L34:L39" ca="1" si="18">K34-J34</f>
        <v>12413.089056516998</v>
      </c>
      <c r="M34" s="477">
        <f t="shared" ref="M34:M39" ca="1" si="19">IFERROR(L34/J34*100,0)</f>
        <v>6.4595784121484288</v>
      </c>
      <c r="N34" s="291">
        <f t="shared" ref="N34:N39" ca="1" si="20">K34-F34</f>
        <v>28506.956541136489</v>
      </c>
      <c r="O34" s="477">
        <f t="shared" ref="O34:O73" ca="1" si="21">IFERROR(N34/F34*100,0)</f>
        <v>16.190533549160232</v>
      </c>
      <c r="P34" s="599"/>
    </row>
    <row r="35" spans="1:16" s="463" customFormat="1" ht="15.75" customHeight="1">
      <c r="A35" s="475" t="s">
        <v>4</v>
      </c>
      <c r="B35" s="302" t="s">
        <v>229</v>
      </c>
      <c r="C35" s="302" t="s">
        <v>559</v>
      </c>
      <c r="D35" s="299" cm="1">
        <f t="array" ref="D35">IF(OR(B35={"Schedule 15","Schedule 51","Schedule 53"}),SUMIFS(RVN!H:H,RVN!A:A,A35,RVN!J:J,B35)/12,SUMIFS('Normalized Units'!I:I,'Normalized Units'!H:H,"Bill",'Normalized Units'!C:C,B35,'Normalized Units'!D:D,A35)/12+SUM(SUMIFS('Normalized Units'!I:I,'Normalized Units'!H:H,{"Annual Bill","Load Size","Load Size Minimum"},'Normalized Units'!C:C,B35,'Normalized Units'!D:D,A35)))</f>
        <v>3498.2472222222223</v>
      </c>
      <c r="E35" s="291">
        <f>SUMIFS('Normalized Units'!I:I,'Normalized Units'!B:B,"Normalized Billing Units",'Normalized Units'!C:C,B35,'Normalized Units'!D:D,A35,'Normalized Units'!H:H,"kWh*")/$Q$28</f>
        <v>21789.340397497937</v>
      </c>
      <c r="F35" s="141">
        <f>SUMIFS(Sch.24!$S:$S,Sch.24!$N:$N,F$75&amp;F$31,Sch.24!$O:$O,"$",Sch.24!$P:$P,$A35)/$Q$28</f>
        <v>2884.7623063942024</v>
      </c>
      <c r="G35" s="141">
        <f ca="1">SUMIFS(Sch.24!$S:$S,Sch.24!$N:$N,G$75&amp;G$31,Sch.24!$O:$O,"$",Sch.24!$P:$P,$A35)/$Q28</f>
        <v>2876.8038836621522</v>
      </c>
      <c r="H35" s="141">
        <f t="shared" ca="1" si="15"/>
        <v>-7.9584227320501668</v>
      </c>
      <c r="I35" s="512">
        <f t="shared" ca="1" si="16"/>
        <v>-0.27587793678563999</v>
      </c>
      <c r="J35" s="141">
        <f t="shared" ca="1" si="17"/>
        <v>2876.8038836621522</v>
      </c>
      <c r="K35" s="141">
        <f ca="1">SUMIFS(Sch.24!$S:$S,Sch.24!$N:$N,K$75&amp;K$31,Sch.24!$O:$O,"$",Sch.24!$P:$P,$A35)/$Q28</f>
        <v>3056.3686278324112</v>
      </c>
      <c r="L35" s="141">
        <f t="shared" ca="1" si="18"/>
        <v>179.56474417025902</v>
      </c>
      <c r="M35" s="477">
        <f t="shared" ca="1" si="19"/>
        <v>6.2418138820667295</v>
      </c>
      <c r="N35" s="291">
        <f t="shared" ca="1" si="20"/>
        <v>171.60632143820885</v>
      </c>
      <c r="O35" s="477">
        <f t="shared" ca="1" si="21"/>
        <v>5.9487161579252446</v>
      </c>
      <c r="P35" s="599"/>
    </row>
    <row r="36" spans="1:16" s="463" customFormat="1" ht="15.75" customHeight="1">
      <c r="A36" s="475" t="s">
        <v>4</v>
      </c>
      <c r="B36" s="302" t="s">
        <v>279</v>
      </c>
      <c r="C36" s="302" t="s">
        <v>550</v>
      </c>
      <c r="D36" s="299" cm="1">
        <f t="array" ref="D36">IF(OR(B36={"Schedule 15","Schedule 51","Schedule 53"}),SUMIFS(RVN!H:H,RVN!A:A,A36,RVN!J:J,B36)/12,SUMIFS('Normalized Units'!I:I,'Normalized Units'!H:H,"Bill",'Normalized Units'!C:C,B36,'Normalized Units'!D:D,A36)/12+SUM(SUMIFS('Normalized Units'!I:I,'Normalized Units'!H:H,{"Annual Bill","Load Size","Load Size Minimum"},'Normalized Units'!C:C,B36,'Normalized Units'!D:D,A36)))</f>
        <v>3.8333333333333335</v>
      </c>
      <c r="E36" s="291">
        <f>SUMIFS('Normalized Units'!I:I,'Normalized Units'!B:B,"Normalized Billing Units",'Normalized Units'!C:C,B36,'Normalized Units'!D:D,A36,'Normalized Units'!H:H,"kWh*")/$Q$28</f>
        <v>2310.7143548278609</v>
      </c>
      <c r="F36" s="141">
        <f>SUMIFS('Sch.29,36'!$S:$S,'Sch.29,36'!$M:$M,F$75&amp;F$31,'Sch.29,36'!$N:$N,"$",'Sch.29,36'!$P:$P,$A36)/$Q$28</f>
        <v>212.47435128449121</v>
      </c>
      <c r="G36" s="141">
        <f ca="1">SUMIFS('Sch.29,36'!$S:$S,'Sch.29,36'!$M:$M,G$75&amp;G$31,'Sch.29,36'!$N:$N,"$",'Sch.29,36'!$P:$P,$A36)/$Q28</f>
        <v>216.5466808262199</v>
      </c>
      <c r="H36" s="141">
        <f t="shared" ca="1" si="15"/>
        <v>4.072329541728692</v>
      </c>
      <c r="I36" s="512">
        <f t="shared" ca="1" si="16"/>
        <v>1.9166217085073352</v>
      </c>
      <c r="J36" s="141">
        <f t="shared" ca="1" si="17"/>
        <v>216.5466808262199</v>
      </c>
      <c r="K36" s="141">
        <f ca="1">SUMIFS('Sch.29,36'!$S:$S,'Sch.29,36'!$M:$M,K$75&amp;K$31,'Sch.29,36'!$N:$N,"$",'Sch.29,36'!$P:$P,$A36)/$Q28</f>
        <v>229.93189159956975</v>
      </c>
      <c r="L36" s="141">
        <f t="shared" ca="1" si="18"/>
        <v>13.385210773349854</v>
      </c>
      <c r="M36" s="477">
        <f t="shared" ca="1" si="19"/>
        <v>6.1812126245848908</v>
      </c>
      <c r="N36" s="291">
        <f t="shared" ca="1" si="20"/>
        <v>17.457540315078546</v>
      </c>
      <c r="O36" s="477">
        <f t="shared" ca="1" si="21"/>
        <v>8.2163047961040174</v>
      </c>
      <c r="P36" s="599"/>
    </row>
    <row r="37" spans="1:16" s="463" customFormat="1" ht="15.75" customHeight="1">
      <c r="A37" s="475" t="s">
        <v>4</v>
      </c>
      <c r="B37" s="102" t="s">
        <v>558</v>
      </c>
      <c r="C37" s="102" t="s">
        <v>369</v>
      </c>
      <c r="D37" s="299" cm="1">
        <f t="array" ref="D37">IF(OR(B37={"Schedule 15","Schedule 51","Schedule 53"}),SUMIFS(RVN!H:H,RVN!A:A,A37,RVN!J:J,B37)/12,SUMIFS('Normalized Units'!I:I,'Normalized Units'!H:H,"Bill",'Normalized Units'!C:C,B37,'Normalized Units'!D:D,A37)/12+SUM(SUMIFS('Normalized Units'!I:I,'Normalized Units'!H:H,{"Annual Bill","Load Size","Load Size Minimum"},'Normalized Units'!C:C,B37,'Normalized Units'!D:D,A37)))</f>
        <v>0</v>
      </c>
      <c r="E37" s="291">
        <f>SUMIFS('Normalized Units'!I:I,'Normalized Units'!B:B,"Normalized Billing Units",'Normalized Units'!C:C,B37,'Normalized Units'!D:D,A37,'Normalized Units'!H:H,"kWh*")/$Q$28</f>
        <v>0</v>
      </c>
      <c r="F37" s="141">
        <f>SUMIFS('AutoPay&amp;Paperless'!$F:$F,'AutoPay&amp;Paperless'!$C:$C,"$",'AutoPay&amp;Paperless'!$D:$D,$A37,'AutoPay&amp;Paperless'!$E:$E,$C37)/$Q$28</f>
        <v>-256.07100000000003</v>
      </c>
      <c r="G37" s="141">
        <f>SUMIFS('AutoPay&amp;Paperless'!$F:$F,'AutoPay&amp;Paperless'!$C:$C,"$",'AutoPay&amp;Paperless'!$D:$D,$A37,'AutoPay&amp;Paperless'!$E:$E,$C37)/$Q$28</f>
        <v>-256.07100000000003</v>
      </c>
      <c r="H37" s="141">
        <f t="shared" si="15"/>
        <v>0</v>
      </c>
      <c r="I37" s="512">
        <f t="shared" si="16"/>
        <v>0</v>
      </c>
      <c r="J37" s="141">
        <f t="shared" si="17"/>
        <v>-256.07100000000003</v>
      </c>
      <c r="K37" s="141">
        <f>SUMIFS('AutoPay&amp;Paperless'!$F:$F,'AutoPay&amp;Paperless'!$C:$C,"$",'AutoPay&amp;Paperless'!$D:$D,$A37,'AutoPay&amp;Paperless'!$E:$E,$C37)/$Q$28</f>
        <v>-256.07100000000003</v>
      </c>
      <c r="L37" s="141">
        <f t="shared" si="18"/>
        <v>0</v>
      </c>
      <c r="M37" s="477">
        <f t="shared" si="19"/>
        <v>0</v>
      </c>
      <c r="N37" s="291">
        <f t="shared" si="20"/>
        <v>0</v>
      </c>
      <c r="O37" s="477">
        <f t="shared" si="21"/>
        <v>0</v>
      </c>
      <c r="P37" s="599"/>
    </row>
    <row r="38" spans="1:16" s="463" customFormat="1" ht="15.75" customHeight="1">
      <c r="A38" s="475" t="s">
        <v>4</v>
      </c>
      <c r="B38" s="102" t="s">
        <v>558</v>
      </c>
      <c r="C38" s="102" t="s">
        <v>370</v>
      </c>
      <c r="D38" s="299" cm="1">
        <f t="array" ref="D38">IF(OR(B38={"Schedule 15","Schedule 51","Schedule 53"}),SUMIFS(RVN!H:H,RVN!A:A,A38,RVN!J:J,B38)/12,SUMIFS('Normalized Units'!I:I,'Normalized Units'!H:H,"Bill",'Normalized Units'!C:C,B38,'Normalized Units'!D:D,A38)/12+SUM(SUMIFS('Normalized Units'!I:I,'Normalized Units'!H:H,{"Annual Bill","Load Size","Load Size Minimum"},'Normalized Units'!C:C,B38,'Normalized Units'!D:D,A38)))</f>
        <v>0</v>
      </c>
      <c r="E38" s="291">
        <f>SUMIFS('Normalized Units'!I:I,'Normalized Units'!B:B,"Normalized Billing Units",'Normalized Units'!C:C,B38,'Normalized Units'!D:D,A38,'Normalized Units'!H:H,"kWh*")/$Q$28</f>
        <v>0</v>
      </c>
      <c r="F38" s="141">
        <f>SUMIFS('AutoPay&amp;Paperless'!$F:$F,'AutoPay&amp;Paperless'!$C:$C,"$",'AutoPay&amp;Paperless'!$D:$D,$A38,'AutoPay&amp;Paperless'!$E:$E,$C38)/$Q$28</f>
        <v>-231.7765</v>
      </c>
      <c r="G38" s="141">
        <f>SUMIFS('AutoPay&amp;Paperless'!$F:$F,'AutoPay&amp;Paperless'!$C:$C,"$",'AutoPay&amp;Paperless'!$D:$D,$A38,'AutoPay&amp;Paperless'!$E:$E,$C38)/$Q$28</f>
        <v>-231.7765</v>
      </c>
      <c r="H38" s="141">
        <f t="shared" si="15"/>
        <v>0</v>
      </c>
      <c r="I38" s="512">
        <f t="shared" si="16"/>
        <v>0</v>
      </c>
      <c r="J38" s="141">
        <f t="shared" si="17"/>
        <v>-231.7765</v>
      </c>
      <c r="K38" s="141">
        <f>SUMIFS('AutoPay&amp;Paperless'!$F:$F,'AutoPay&amp;Paperless'!$C:$C,"$",'AutoPay&amp;Paperless'!$D:$D,$A38,'AutoPay&amp;Paperless'!$E:$E,$C38)/$Q$28</f>
        <v>-231.7765</v>
      </c>
      <c r="L38" s="141">
        <f t="shared" si="18"/>
        <v>0</v>
      </c>
      <c r="M38" s="477">
        <f t="shared" si="19"/>
        <v>0</v>
      </c>
      <c r="N38" s="291">
        <f t="shared" si="20"/>
        <v>0</v>
      </c>
      <c r="O38" s="477">
        <f t="shared" si="21"/>
        <v>0</v>
      </c>
      <c r="P38" s="599"/>
    </row>
    <row r="39" spans="1:16" s="463" customFormat="1" ht="15.75" customHeight="1">
      <c r="A39" s="474" t="s">
        <v>4</v>
      </c>
      <c r="B39" s="102" t="s">
        <v>558</v>
      </c>
      <c r="C39" s="302" t="s">
        <v>352</v>
      </c>
      <c r="D39" s="299" cm="1">
        <f t="array" ref="D39">IF(OR(B39={"Schedule 15","Schedule 51","Schedule 53"}),SUMIFS(RVN!H:H,RVN!A:A,A39,RVN!J:J,B39)/12,SUMIFS('Normalized Units'!I:I,'Normalized Units'!H:H,"Bill",'Normalized Units'!C:C,B39,'Normalized Units'!D:D,A39)/12+SUM(SUMIFS('Normalized Units'!I:I,'Normalized Units'!H:H,{"Annual Bill","Load Size","Load Size Minimum"},'Normalized Units'!C:C,B39,'Normalized Units'!D:D,A39)))</f>
        <v>0</v>
      </c>
      <c r="E39" s="291">
        <f>SUMIFS('Normalized Units'!I:I,'Normalized Units'!B:B,"Normalized Billing Units",'Normalized Units'!C:C,B39,'Normalized Units'!D:D,A39,'Normalized Units'!H:H,"kWh*")/$Q$28</f>
        <v>0</v>
      </c>
      <c r="F39" s="142">
        <f>SUMIFS(RVN!$F:$F,RVN!$A:$A,$A39,RVN!$J:$J,$C39)/$Q$28</f>
        <v>1.15594</v>
      </c>
      <c r="G39" s="142">
        <f>SUMIFS(RVN!$F:$F,RVN!$A:$A,$A39,RVN!$J:$J,$C39)/$Q$28</f>
        <v>1.15594</v>
      </c>
      <c r="H39" s="141">
        <f t="shared" si="15"/>
        <v>0</v>
      </c>
      <c r="I39" s="512">
        <f t="shared" si="16"/>
        <v>0</v>
      </c>
      <c r="J39" s="141">
        <f t="shared" si="17"/>
        <v>1.15594</v>
      </c>
      <c r="K39" s="142">
        <f>SUMIFS(RVN!$F:$F,RVN!$A:$A,$A39,RVN!$J:$J,$C39)/$Q$28</f>
        <v>1.15594</v>
      </c>
      <c r="L39" s="141">
        <f t="shared" si="18"/>
        <v>0</v>
      </c>
      <c r="M39" s="477">
        <f t="shared" si="19"/>
        <v>0</v>
      </c>
      <c r="N39" s="291">
        <f t="shared" si="20"/>
        <v>0</v>
      </c>
      <c r="O39" s="477">
        <f t="shared" si="21"/>
        <v>0</v>
      </c>
      <c r="P39" s="599"/>
    </row>
    <row r="40" spans="1:16" s="463" customFormat="1" ht="15.75" customHeight="1">
      <c r="A40" s="479" t="s">
        <v>4</v>
      </c>
      <c r="B40" s="424" t="s">
        <v>195</v>
      </c>
      <c r="C40" s="424" t="s">
        <v>195</v>
      </c>
      <c r="D40" s="489">
        <f>SUM(D33:D39)</f>
        <v>115211.11044802866</v>
      </c>
      <c r="E40" s="489">
        <f t="shared" ref="E40:H40" si="22">SUM(E33:E39)</f>
        <v>1656451.8334200094</v>
      </c>
      <c r="F40" s="489">
        <f t="shared" si="22"/>
        <v>178790.33036358008</v>
      </c>
      <c r="G40" s="489">
        <f t="shared" ca="1" si="22"/>
        <v>194889.45064385585</v>
      </c>
      <c r="H40" s="489">
        <f t="shared" ca="1" si="22"/>
        <v>16099.120280275765</v>
      </c>
      <c r="I40" s="514">
        <f ca="1">IFERROR(H40/F40*100,0)</f>
        <v>9.0044692280266538</v>
      </c>
      <c r="J40" s="489">
        <f t="shared" ref="J40" ca="1" si="23">SUM(J33:J39)</f>
        <v>194889.45064385585</v>
      </c>
      <c r="K40" s="489">
        <f t="shared" ref="K40" ca="1" si="24">SUM(K33:K39)</f>
        <v>207502.69984475547</v>
      </c>
      <c r="L40" s="489">
        <f t="shared" ref="L40:N40" ca="1" si="25">SUM(L33:L39)</f>
        <v>12613.24920089962</v>
      </c>
      <c r="M40" s="480">
        <f ca="1">IFERROR(L40/J40*100,0)</f>
        <v>6.4720020294732503</v>
      </c>
      <c r="N40" s="489">
        <f t="shared" ca="1" si="25"/>
        <v>28712.369481175385</v>
      </c>
      <c r="O40" s="492">
        <f t="shared" ca="1" si="21"/>
        <v>16.059240688681083</v>
      </c>
      <c r="P40" s="599"/>
    </row>
    <row r="41" spans="1:16" s="463" customFormat="1" ht="15.75" customHeight="1">
      <c r="A41" s="485"/>
      <c r="B41" s="331"/>
      <c r="C41" s="331"/>
      <c r="D41" s="298"/>
      <c r="E41" s="282"/>
      <c r="F41" s="268"/>
      <c r="G41" s="268"/>
      <c r="H41" s="268"/>
      <c r="I41" s="517"/>
      <c r="J41" s="268"/>
      <c r="K41" s="268"/>
      <c r="L41" s="268"/>
      <c r="M41" s="484"/>
      <c r="N41" s="282"/>
      <c r="O41" s="484">
        <f t="shared" si="21"/>
        <v>0</v>
      </c>
      <c r="P41" s="599"/>
    </row>
    <row r="42" spans="1:16" s="463" customFormat="1" ht="15.75" customHeight="1">
      <c r="A42" s="475" t="s">
        <v>5</v>
      </c>
      <c r="B42" s="302" t="s">
        <v>169</v>
      </c>
      <c r="C42" s="302" t="s">
        <v>551</v>
      </c>
      <c r="D42" s="299" cm="1">
        <f t="array" ref="D42">IF(OR(B42={"Schedule 15","Schedule 51","Schedule 53"}),SUMIFS(RVN!H:H,RVN!A:A,A42,RVN!J:J,B42)/12,SUMIFS('Normalized Units'!I:I,'Normalized Units'!H:H,"Bill",'Normalized Units'!C:C,B42,'Normalized Units'!D:D,A42)/12+SUM(SUMIFS('Normalized Units'!I:I,'Normalized Units'!H:H,{"Annual Bill","Load Size","Load Size Minimum"},'Normalized Units'!C:C,B42,'Normalized Units'!D:D,A42)))</f>
        <v>1190.9166666666667</v>
      </c>
      <c r="E42" s="291">
        <f>SUMIFS('Normalized Units'!I:I,'Normalized Units'!B:B,"Normalized Billing Units",'Normalized Units'!C:C,B42,'Normalized Units'!D:D,A42,'Normalized Units'!H:H,"kWh*")/$Q$28</f>
        <v>1849.1404231953695</v>
      </c>
      <c r="F42" s="141">
        <f>SUMIFS('Sch.15,51,53,54'!$G:$G,'Sch.15,51,53,54'!$A:$A,F$75&amp;F$31,'Sch.15,51,53,54'!$B:$B,"$",'Sch.15,51,53,54'!$C:$C,$B42,'Sch.15,51,53,54'!$D:$D,$A42)/$Q$28</f>
        <v>177.44817202000706</v>
      </c>
      <c r="G42" s="141">
        <f ca="1">SUMIFS('Sch.15,51,53,54'!$G:$G,'Sch.15,51,53,54'!$A:$A,G$75&amp;G$31,'Sch.15,51,53,54'!$B:$B,"$",'Sch.15,51,53,54'!$C:$C,$B42,'Sch.15,51,53,54'!$D:$D,$A42)/$Q$28</f>
        <v>192.78336022247029</v>
      </c>
      <c r="H42" s="141">
        <f ca="1">G42-F42</f>
        <v>15.335188202463229</v>
      </c>
      <c r="I42" s="512">
        <f ca="1">IFERROR(H42/F42*100,0)</f>
        <v>8.6420660342075575</v>
      </c>
      <c r="J42" s="141">
        <f ca="1">G42</f>
        <v>192.78336022247029</v>
      </c>
      <c r="K42" s="141">
        <f ca="1">SUMIFS('Sch.15,51,53,54'!$G:$G,'Sch.15,51,53,54'!$A:$A,K$75&amp;K$31,'Sch.15,51,53,54'!$B:$B,"$",'Sch.15,51,53,54'!$C:$C,$B42,'Sch.15,51,53,54'!$D:$D,$A42)/$Q$28</f>
        <v>204.84009109310989</v>
      </c>
      <c r="L42" s="141">
        <f ca="1">K42-J42</f>
        <v>12.056730870639598</v>
      </c>
      <c r="M42" s="477">
        <f ca="1">IFERROR(L42/J42*100,0)</f>
        <v>6.2540308752406002</v>
      </c>
      <c r="N42" s="291">
        <f ca="1">K42-F42</f>
        <v>27.391919073102827</v>
      </c>
      <c r="O42" s="477">
        <f t="shared" ca="1" si="21"/>
        <v>15.436574387486178</v>
      </c>
      <c r="P42" s="599"/>
    </row>
    <row r="43" spans="1:16" s="463" customFormat="1" ht="15.75" customHeight="1">
      <c r="A43" s="475" t="s">
        <v>5</v>
      </c>
      <c r="B43" s="302" t="s">
        <v>229</v>
      </c>
      <c r="C43" s="302" t="s">
        <v>559</v>
      </c>
      <c r="D43" s="299" cm="1">
        <f t="array" ref="D43">IF(OR(B43={"Schedule 15","Schedule 51","Schedule 53"}),SUMIFS(RVN!H:H,RVN!A:A,A43,RVN!J:J,B43)/12,SUMIFS('Normalized Units'!I:I,'Normalized Units'!H:H,"Bill",'Normalized Units'!C:C,B43,'Normalized Units'!D:D,A43)/12+SUM(SUMIFS('Normalized Units'!I:I,'Normalized Units'!H:H,{"Annual Bill","Load Size","Load Size Minimum"},'Normalized Units'!C:C,B43,'Normalized Units'!D:D,A43)))</f>
        <v>16907.901369863011</v>
      </c>
      <c r="E43" s="291">
        <f>SUMIFS('Normalized Units'!I:I,'Normalized Units'!B:B,"Normalized Billing Units",'Normalized Units'!C:C,B43,'Normalized Units'!D:D,A43,'Normalized Units'!H:H,"kWh*")/$Q$28</f>
        <v>510763.11130107107</v>
      </c>
      <c r="F43" s="141">
        <f>SUMIFS(Sch.24!$S:$S,Sch.24!$N:$N,F$75&amp;F$31,Sch.24!$O:$O,"$",Sch.24!$P:$P,$A43)/$Q$28</f>
        <v>53487.352817815001</v>
      </c>
      <c r="G43" s="141">
        <f ca="1">SUMIFS(Sch.24!$S:$S,Sch.24!$N:$N,G$75&amp;G$31,Sch.24!$O:$O,"$",Sch.24!$P:$P,$A43)/$Q$28</f>
        <v>53498.004757447721</v>
      </c>
      <c r="H43" s="141">
        <f t="shared" ref="H43:H48" ca="1" si="26">G43-F43</f>
        <v>10.651939632720314</v>
      </c>
      <c r="I43" s="512">
        <f t="shared" ref="I43:I48" ca="1" si="27">IFERROR(H43/F43*100,0)</f>
        <v>1.9914875333244157E-2</v>
      </c>
      <c r="J43" s="141">
        <f t="shared" ref="J43:J48" ca="1" si="28">G43</f>
        <v>53498.004757447721</v>
      </c>
      <c r="K43" s="141">
        <f ca="1">SUMIFS(Sch.24!$S:$S,Sch.24!$N:$N,K$75&amp;K$31,Sch.24!$O:$O,"$",Sch.24!$P:$P,$A43)/$Q$28</f>
        <v>56970.625137379626</v>
      </c>
      <c r="L43" s="141">
        <f t="shared" ref="L43:L48" ca="1" si="29">K43-J43</f>
        <v>3472.6203799319046</v>
      </c>
      <c r="M43" s="477">
        <f t="shared" ref="M43:M48" ca="1" si="30">IFERROR(L43/J43*100,0)</f>
        <v>6.4911212963479059</v>
      </c>
      <c r="N43" s="291">
        <f t="shared" ref="N43:N48" ca="1" si="31">K43-F43</f>
        <v>3483.2723195646249</v>
      </c>
      <c r="O43" s="477">
        <f t="shared" ca="1" si="21"/>
        <v>6.5123288703950468</v>
      </c>
      <c r="P43" s="599"/>
    </row>
    <row r="44" spans="1:16" s="463" customFormat="1" ht="15.75" customHeight="1">
      <c r="A44" s="475" t="s">
        <v>5</v>
      </c>
      <c r="B44" s="302" t="s">
        <v>279</v>
      </c>
      <c r="C44" s="302" t="s">
        <v>550</v>
      </c>
      <c r="D44" s="299" cm="1">
        <f t="array" ref="D44">IF(OR(B44={"Schedule 15","Schedule 51","Schedule 53"}),SUMIFS(RVN!H:H,RVN!A:A,A44,RVN!J:J,B44)/12,SUMIFS('Normalized Units'!I:I,'Normalized Units'!H:H,"Bill",'Normalized Units'!C:C,B44,'Normalized Units'!D:D,A44)/12+SUM(SUMIFS('Normalized Units'!I:I,'Normalized Units'!H:H,{"Annual Bill","Load Size","Load Size Minimum"},'Normalized Units'!C:C,B44,'Normalized Units'!D:D,A44)))</f>
        <v>971.03888888888889</v>
      </c>
      <c r="E44" s="291">
        <f>SUMIFS('Normalized Units'!I:I,'Normalized Units'!B:B,"Normalized Billing Units",'Normalized Units'!C:C,B44,'Normalized Units'!D:D,A44,'Normalized Units'!H:H,"kWh*")/$Q$28</f>
        <v>842220.37803557958</v>
      </c>
      <c r="F44" s="141">
        <f>SUMIFS('Sch.29,36'!$S:$S,'Sch.29,36'!$M:$M,F$75&amp;F$31,'Sch.29,36'!$N:$N,"$",'Sch.29,36'!$P:$P,$A44)/$Q$28</f>
        <v>76153.664727651412</v>
      </c>
      <c r="G44" s="141">
        <f ca="1">SUMIFS('Sch.29,36'!$S:$S,'Sch.29,36'!$M:$M,G$75&amp;G$31,'Sch.29,36'!$N:$N,"$",'Sch.29,36'!$P:$P,$A44)/$Q$28</f>
        <v>78653.431680113499</v>
      </c>
      <c r="H44" s="141">
        <f t="shared" ca="1" si="26"/>
        <v>2499.7669524620869</v>
      </c>
      <c r="I44" s="512">
        <f t="shared" ca="1" si="27"/>
        <v>3.2825300809908642</v>
      </c>
      <c r="J44" s="141">
        <f t="shared" ca="1" si="28"/>
        <v>78653.431680113499</v>
      </c>
      <c r="K44" s="141">
        <f ca="1">SUMIFS('Sch.29,36'!$S:$S,'Sch.29,36'!$M:$M,K$75&amp;K$31,'Sch.29,36'!$N:$N,"$",'Sch.29,36'!$P:$P,$A44)/$Q$28</f>
        <v>83729.414118568748</v>
      </c>
      <c r="L44" s="141">
        <f t="shared" ca="1" si="29"/>
        <v>5075.9824384552485</v>
      </c>
      <c r="M44" s="477">
        <f t="shared" ca="1" si="30"/>
        <v>6.4536058122669866</v>
      </c>
      <c r="N44" s="291">
        <f t="shared" ca="1" si="31"/>
        <v>7575.7493909173354</v>
      </c>
      <c r="O44" s="477">
        <f t="shared" ca="1" si="21"/>
        <v>9.9479774453540895</v>
      </c>
      <c r="P44" s="599"/>
    </row>
    <row r="45" spans="1:16" s="463" customFormat="1" ht="15.75" customHeight="1">
      <c r="A45" s="475" t="s">
        <v>5</v>
      </c>
      <c r="B45" s="302" t="s">
        <v>587</v>
      </c>
      <c r="C45" s="302" t="s">
        <v>560</v>
      </c>
      <c r="D45" s="299">
        <f>('Normalized Units'!I97+'Normalized Units'!I101+'Normalized Units'!I102)/12</f>
        <v>37.444444444444443</v>
      </c>
      <c r="E45" s="291" cm="1">
        <f t="array" ref="E45">SUM(SUMIFS('Normalized Units'!I:I,'Normalized Units'!B:B,"Normalized Billing Units",'Normalized Units'!C:C,{"Schedule 47T","Schedule 48T"},'Normalized Units'!D:D,A45,'Normalized Units'!H:H,"kWh*"))/$Q$28</f>
        <v>176021.17293894291</v>
      </c>
      <c r="F45" s="141">
        <f>SUMIFS(Sch.48T!$T:$T,Sch.48T!$N:$N,F$75&amp;F$31,Sch.48T!$O:$O,"$",Sch.48T!$P:$P,$A45)/$Q$28</f>
        <v>15035.759922384723</v>
      </c>
      <c r="G45" s="141">
        <f ca="1">SUMIFS(Sch.48T!$T:$T,Sch.48T!$N:$N,G$75&amp;G$31,Sch.48T!$O:$O,"$",Sch.48T!$P:$P,$A45)/$Q$28</f>
        <v>16417.308849211528</v>
      </c>
      <c r="H45" s="141">
        <f t="shared" ca="1" si="26"/>
        <v>1381.5489268268047</v>
      </c>
      <c r="I45" s="512">
        <f t="shared" ca="1" si="27"/>
        <v>9.1884210306524121</v>
      </c>
      <c r="J45" s="141">
        <f t="shared" ca="1" si="28"/>
        <v>16417.308849211528</v>
      </c>
      <c r="K45" s="141">
        <f ca="1">SUMIFS(Sch.48T!$T:$T,Sch.48T!$N:$N,K$75&amp;K$31,Sch.48T!$O:$O,"$",Sch.48T!$P:$P,$A45)/$Q$28</f>
        <v>17491.029277787136</v>
      </c>
      <c r="L45" s="141">
        <f t="shared" ca="1" si="29"/>
        <v>1073.7204285756088</v>
      </c>
      <c r="M45" s="477">
        <f t="shared" ca="1" si="30"/>
        <v>6.5401731698991359</v>
      </c>
      <c r="N45" s="291">
        <f t="shared" ca="1" si="31"/>
        <v>2455.2693554024136</v>
      </c>
      <c r="O45" s="477">
        <f t="shared" ca="1" si="21"/>
        <v>16.329532847535646</v>
      </c>
      <c r="P45" s="599"/>
    </row>
    <row r="46" spans="1:16" s="463" customFormat="1" ht="15.75" customHeight="1">
      <c r="A46" s="475" t="s">
        <v>5</v>
      </c>
      <c r="B46" s="302" t="s">
        <v>171</v>
      </c>
      <c r="C46" s="302" t="s">
        <v>561</v>
      </c>
      <c r="D46" s="299" cm="1">
        <f t="array" ref="D46">IF(OR(B46={"Schedule 15","Schedule 51","Schedule 53"}),SUMIFS(RVN!H:H,RVN!A:A,A46,RVN!J:J,B46)/12,SUMIFS('Normalized Units'!I:I,'Normalized Units'!H:H,"Bill",'Normalized Units'!C:C,B46,'Normalized Units'!D:D,A46)/12+SUM(SUMIFS('Normalized Units'!I:I,'Normalized Units'!H:H,{"Annual Bill","Load Size","Load Size Minimum"},'Normalized Units'!C:C,B46,'Normalized Units'!D:D,A46)))</f>
        <v>25.575035561877666</v>
      </c>
      <c r="E46" s="291">
        <f>SUMIFS('Normalized Units'!I:I,'Normalized Units'!B:B,"Normalized Billing Units",'Normalized Units'!C:C,B46,'Normalized Units'!D:D,A46,'Normalized Units'!H:H,"kWh*")/$Q$28</f>
        <v>314.48340809632003</v>
      </c>
      <c r="F46" s="141">
        <f>SUMIFS('Sch.15,51,53,54'!$G:$G,'Sch.15,51,53,54'!$A:$A,F$75&amp;F$31,'Sch.15,51,53,54'!$B:$B,"$",'Sch.15,51,53,54'!$C:$C,$B46,'Sch.15,51,53,54'!$D:$D,$A46)/$Q$28</f>
        <v>21.271452803859034</v>
      </c>
      <c r="G46" s="141">
        <f ca="1">SUMIFS('Sch.15,51,53,54'!$G:$G,'Sch.15,51,53,54'!$A:$A,G$75&amp;G$31,'Sch.15,51,53,54'!$B:$B,"$",'Sch.15,51,53,54'!$C:$C,$B46,'Sch.15,51,53,54'!$D:$D,$A46)/$Q$28</f>
        <v>23.11237203906807</v>
      </c>
      <c r="H46" s="141">
        <f t="shared" ca="1" si="26"/>
        <v>1.8409192352090358</v>
      </c>
      <c r="I46" s="512">
        <f t="shared" ca="1" si="27"/>
        <v>8.6544123346152411</v>
      </c>
      <c r="J46" s="141">
        <f t="shared" ca="1" si="28"/>
        <v>23.11237203906807</v>
      </c>
      <c r="K46" s="141">
        <f ca="1">SUMIFS('Sch.15,51,53,54'!$G:$G,'Sch.15,51,53,54'!$A:$A,K$75&amp;K$31,'Sch.15,51,53,54'!$B:$B,"$",'Sch.15,51,53,54'!$C:$C,$B46,'Sch.15,51,53,54'!$D:$D,$A46)/$Q$28</f>
        <v>24.54986922495317</v>
      </c>
      <c r="L46" s="141">
        <f t="shared" ca="1" si="29"/>
        <v>1.4374971858850998</v>
      </c>
      <c r="M46" s="477">
        <f t="shared" ca="1" si="30"/>
        <v>6.2196004090589314</v>
      </c>
      <c r="N46" s="291">
        <f t="shared" ca="1" si="31"/>
        <v>3.2784164210941356</v>
      </c>
      <c r="O46" s="477">
        <f t="shared" ca="1" si="21"/>
        <v>15.412282608639549</v>
      </c>
      <c r="P46" s="599"/>
    </row>
    <row r="47" spans="1:16" s="463" customFormat="1" ht="15.75" customHeight="1">
      <c r="A47" s="475" t="s">
        <v>5</v>
      </c>
      <c r="B47" s="102" t="s">
        <v>558</v>
      </c>
      <c r="C47" s="102" t="s">
        <v>369</v>
      </c>
      <c r="D47" s="299" cm="1">
        <f t="array" ref="D47">IF(OR(B47={"Schedule 15","Schedule 51","Schedule 53"}),SUMIFS(RVN!H:H,RVN!A:A,A47,RVN!J:J,B47)/12,SUMIFS('Normalized Units'!I:I,'Normalized Units'!H:H,"Bill",'Normalized Units'!C:C,B47,'Normalized Units'!D:D,A47)/12+SUM(SUMIFS('Normalized Units'!I:I,'Normalized Units'!H:H,{"Annual Bill","Load Size","Load Size Minimum"},'Normalized Units'!C:C,B47,'Normalized Units'!D:D,A47)))</f>
        <v>0</v>
      </c>
      <c r="E47" s="291">
        <f>SUMIFS('Normalized Units'!I:I,'Normalized Units'!B:B,"Normalized Billing Units",'Normalized Units'!C:C,B47,'Normalized Units'!D:D,A47,'Normalized Units'!H:H,"kWh*")/$Q$28</f>
        <v>0</v>
      </c>
      <c r="F47" s="141">
        <f>SUMIFS('AutoPay&amp;Paperless'!$F:$F,'AutoPay&amp;Paperless'!$C:$C,"$",'AutoPay&amp;Paperless'!$D:$D,$A47,'AutoPay&amp;Paperless'!$E:$E,$C47)/$Q$28</f>
        <v>-31.087</v>
      </c>
      <c r="G47" s="141">
        <f>SUMIFS('AutoPay&amp;Paperless'!$F:$F,'AutoPay&amp;Paperless'!$C:$C,"$",'AutoPay&amp;Paperless'!$D:$D,$A47,'AutoPay&amp;Paperless'!$E:$E,$C47)/$Q$28</f>
        <v>-31.087</v>
      </c>
      <c r="H47" s="141">
        <f t="shared" si="26"/>
        <v>0</v>
      </c>
      <c r="I47" s="512">
        <f t="shared" si="27"/>
        <v>0</v>
      </c>
      <c r="J47" s="141">
        <f t="shared" si="28"/>
        <v>-31.087</v>
      </c>
      <c r="K47" s="141">
        <f>SUMIFS('AutoPay&amp;Paperless'!$F:$F,'AutoPay&amp;Paperless'!$C:$C,"$",'AutoPay&amp;Paperless'!$D:$D,$A47,'AutoPay&amp;Paperless'!$E:$E,$C47)/$Q$28</f>
        <v>-31.087</v>
      </c>
      <c r="L47" s="141">
        <f t="shared" si="29"/>
        <v>0</v>
      </c>
      <c r="M47" s="477">
        <f t="shared" si="30"/>
        <v>0</v>
      </c>
      <c r="N47" s="291">
        <f t="shared" si="31"/>
        <v>0</v>
      </c>
      <c r="O47" s="477">
        <f t="shared" si="21"/>
        <v>0</v>
      </c>
      <c r="P47" s="599"/>
    </row>
    <row r="48" spans="1:16" s="463" customFormat="1" ht="15.75" customHeight="1">
      <c r="A48" s="475" t="s">
        <v>5</v>
      </c>
      <c r="B48" s="102" t="s">
        <v>558</v>
      </c>
      <c r="C48" s="102" t="s">
        <v>370</v>
      </c>
      <c r="D48" s="299" cm="1">
        <f t="array" ref="D48">IF(OR(B48={"Schedule 15","Schedule 51","Schedule 53"}),SUMIFS(RVN!H:H,RVN!A:A,A48,RVN!J:J,B48)/12,SUMIFS('Normalized Units'!I:I,'Normalized Units'!H:H,"Bill",'Normalized Units'!C:C,B48,'Normalized Units'!D:D,A48)/12+SUM(SUMIFS('Normalized Units'!I:I,'Normalized Units'!H:H,{"Annual Bill","Load Size","Load Size Minimum"},'Normalized Units'!C:C,B48,'Normalized Units'!D:D,A48)))</f>
        <v>0</v>
      </c>
      <c r="E48" s="291">
        <f>SUMIFS('Normalized Units'!I:I,'Normalized Units'!B:B,"Normalized Billing Units",'Normalized Units'!C:C,B48,'Normalized Units'!D:D,A48,'Normalized Units'!H:H,"kWh*")/$Q$28</f>
        <v>0</v>
      </c>
      <c r="F48" s="141">
        <f>SUMIFS('AutoPay&amp;Paperless'!$F:$F,'AutoPay&amp;Paperless'!$C:$C,"$",'AutoPay&amp;Paperless'!$D:$D,$A48,'AutoPay&amp;Paperless'!$E:$E,$C48)/$Q$28</f>
        <v>-28.762</v>
      </c>
      <c r="G48" s="141">
        <f>SUMIFS('AutoPay&amp;Paperless'!$F:$F,'AutoPay&amp;Paperless'!$C:$C,"$",'AutoPay&amp;Paperless'!$D:$D,$A48,'AutoPay&amp;Paperless'!$E:$E,$C48)/$Q$28</f>
        <v>-28.762</v>
      </c>
      <c r="H48" s="141">
        <f t="shared" si="26"/>
        <v>0</v>
      </c>
      <c r="I48" s="512">
        <f t="shared" si="27"/>
        <v>0</v>
      </c>
      <c r="J48" s="141">
        <f t="shared" si="28"/>
        <v>-28.762</v>
      </c>
      <c r="K48" s="141">
        <f>SUMIFS('AutoPay&amp;Paperless'!$F:$F,'AutoPay&amp;Paperless'!$C:$C,"$",'AutoPay&amp;Paperless'!$D:$D,$A48,'AutoPay&amp;Paperless'!$E:$E,$C48)/$Q$28</f>
        <v>-28.762</v>
      </c>
      <c r="L48" s="141">
        <f t="shared" si="29"/>
        <v>0</v>
      </c>
      <c r="M48" s="477">
        <f t="shared" si="30"/>
        <v>0</v>
      </c>
      <c r="N48" s="291">
        <f t="shared" si="31"/>
        <v>0</v>
      </c>
      <c r="O48" s="477">
        <f t="shared" si="21"/>
        <v>0</v>
      </c>
      <c r="P48" s="599"/>
    </row>
    <row r="49" spans="1:16" s="463" customFormat="1" ht="15.75" customHeight="1">
      <c r="A49" s="474" t="s">
        <v>5</v>
      </c>
      <c r="B49" s="102" t="s">
        <v>558</v>
      </c>
      <c r="C49" s="302" t="s">
        <v>352</v>
      </c>
      <c r="D49" s="299" cm="1">
        <f t="array" ref="D49">IF(OR(B49={"Schedule 15","Schedule 51","Schedule 53"}),SUMIFS(RVN!H:H,RVN!A:A,A49,RVN!J:J,B49)/12,SUMIFS('Normalized Units'!I:I,'Normalized Units'!H:H,"Bill",'Normalized Units'!C:C,B49,'Normalized Units'!D:D,A49)/12+SUM(SUMIFS('Normalized Units'!I:I,'Normalized Units'!H:H,{"Annual Bill","Load Size","Load Size Minimum"},'Normalized Units'!C:C,B49,'Normalized Units'!D:D,A49)))</f>
        <v>0</v>
      </c>
      <c r="E49" s="291">
        <f>SUMIFS('Normalized Units'!I:I,'Normalized Units'!B:B,"Normalized Billing Units",'Normalized Units'!C:C,B49,'Normalized Units'!D:D,A49,'Normalized Units'!H:H,"kWh*")/$Q$28</f>
        <v>0</v>
      </c>
      <c r="F49" s="142">
        <f>SUMIFS(RVN!$F:$F,RVN!$A:$A,$A49,RVN!$J:$J,$C49)/$Q$28</f>
        <v>473.08967000000007</v>
      </c>
      <c r="G49" s="142">
        <f>SUMIFS(RVN!$F:$F,RVN!$A:$A,$A49,RVN!$J:$J,$C49)/$Q$28</f>
        <v>473.08967000000007</v>
      </c>
      <c r="H49" s="141">
        <f>G49-F49</f>
        <v>0</v>
      </c>
      <c r="I49" s="512">
        <f>IFERROR(H49/F49*100,0)</f>
        <v>0</v>
      </c>
      <c r="J49" s="141">
        <f>G49</f>
        <v>473.08967000000007</v>
      </c>
      <c r="K49" s="142">
        <f>SUMIFS(RVN!$F:$F,RVN!$A:$A,$A49,RVN!$J:$J,$C49)/$Q$28</f>
        <v>473.08967000000007</v>
      </c>
      <c r="L49" s="141">
        <f>K49-J49</f>
        <v>0</v>
      </c>
      <c r="M49" s="477">
        <f>IFERROR(L49/J49*100,0)</f>
        <v>0</v>
      </c>
      <c r="N49" s="291">
        <f>K49-F49</f>
        <v>0</v>
      </c>
      <c r="O49" s="477">
        <f t="shared" si="21"/>
        <v>0</v>
      </c>
      <c r="P49" s="599"/>
    </row>
    <row r="50" spans="1:16" s="463" customFormat="1" ht="15.75" customHeight="1">
      <c r="A50" s="479" t="s">
        <v>5</v>
      </c>
      <c r="B50" s="424" t="s">
        <v>195</v>
      </c>
      <c r="C50" s="424" t="s">
        <v>195</v>
      </c>
      <c r="D50" s="489">
        <f>SUM(D42:D49)</f>
        <v>19132.87640542489</v>
      </c>
      <c r="E50" s="489">
        <f t="shared" ref="E50:H50" si="32">SUM(E42:E49)</f>
        <v>1531168.2861068852</v>
      </c>
      <c r="F50" s="489">
        <f t="shared" si="32"/>
        <v>145288.73776267501</v>
      </c>
      <c r="G50" s="489">
        <f t="shared" ca="1" si="32"/>
        <v>149197.88168903429</v>
      </c>
      <c r="H50" s="489">
        <f t="shared" ca="1" si="32"/>
        <v>3909.1439263592843</v>
      </c>
      <c r="I50" s="514">
        <f ca="1">IFERROR(H50/F50*100,0)</f>
        <v>2.6906035433694515</v>
      </c>
      <c r="J50" s="489">
        <f t="shared" ref="J50" ca="1" si="33">SUM(J42:J49)</f>
        <v>149197.88168903429</v>
      </c>
      <c r="K50" s="489">
        <f t="shared" ref="K50" ca="1" si="34">SUM(K42:K49)</f>
        <v>158833.69916405357</v>
      </c>
      <c r="L50" s="489">
        <f t="shared" ref="L50:N50" ca="1" si="35">SUM(L42:L49)</f>
        <v>9635.8174750192866</v>
      </c>
      <c r="M50" s="480">
        <f ca="1">IFERROR(L50/J50*100,0)</f>
        <v>6.4584143996780998</v>
      </c>
      <c r="N50" s="489">
        <f t="shared" ca="1" si="35"/>
        <v>13544.96140137857</v>
      </c>
      <c r="O50" s="492">
        <f t="shared" ca="1" si="21"/>
        <v>9.3227882697307738</v>
      </c>
      <c r="P50" s="599"/>
    </row>
    <row r="51" spans="1:16" s="463" customFormat="1" ht="15.75" customHeight="1">
      <c r="A51" s="485"/>
      <c r="B51" s="331"/>
      <c r="C51" s="331"/>
      <c r="D51" s="298"/>
      <c r="E51" s="282"/>
      <c r="F51" s="268"/>
      <c r="G51" s="268"/>
      <c r="H51" s="268"/>
      <c r="I51" s="517"/>
      <c r="J51" s="268"/>
      <c r="K51" s="268"/>
      <c r="L51" s="268"/>
      <c r="M51" s="484"/>
      <c r="N51" s="282"/>
      <c r="O51" s="484">
        <f t="shared" si="21"/>
        <v>0</v>
      </c>
      <c r="P51" s="599"/>
    </row>
    <row r="52" spans="1:16" s="463" customFormat="1" ht="15.75" customHeight="1">
      <c r="A52" s="475" t="s">
        <v>7</v>
      </c>
      <c r="B52" s="302" t="s">
        <v>169</v>
      </c>
      <c r="C52" s="302" t="s">
        <v>551</v>
      </c>
      <c r="D52" s="299" cm="1">
        <f t="array" ref="D52">IF(OR(B52={"Schedule 15","Schedule 51","Schedule 53"}),SUMIFS(RVN!H:H,RVN!A:A,A52,RVN!J:J,B52)/12,SUMIFS('Normalized Units'!I:I,'Normalized Units'!H:H,"Bill",'Normalized Units'!C:C,B52,'Normalized Units'!D:D,A52)/12+SUM(SUMIFS('Normalized Units'!I:I,'Normalized Units'!H:H,{"Annual Bill","Load Size","Load Size Minimum"},'Normalized Units'!C:C,B52,'Normalized Units'!D:D,A52)))</f>
        <v>50.166666666666664</v>
      </c>
      <c r="E52" s="291">
        <f>SUMIFS('Normalized Units'!I:I,'Normalized Units'!B:B,"Normalized Billing Units",'Normalized Units'!C:C,B52,'Normalized Units'!D:D,A52,'Normalized Units'!H:H,"kWh*")/$Q$28</f>
        <v>122.7874500167689</v>
      </c>
      <c r="F52" s="141">
        <f>SUMIFS('Sch.15,51,53,54'!$G:$G,'Sch.15,51,53,54'!$A:$A,F$75&amp;F$31,'Sch.15,51,53,54'!$B:$B,"$",'Sch.15,51,53,54'!$C:$C,$B52,'Sch.15,51,53,54'!$D:$D,$A52)/$Q$28</f>
        <v>9.9208232017062361</v>
      </c>
      <c r="G52" s="141">
        <f ca="1">SUMIFS('Sch.15,51,53,54'!$G:$G,'Sch.15,51,53,54'!$A:$A,G$75&amp;G$31,'Sch.15,51,53,54'!$B:$B,"$",'Sch.15,51,53,54'!$C:$C,$B52,'Sch.15,51,53,54'!$D:$D,$A52)/$Q$28</f>
        <v>10.775493956713772</v>
      </c>
      <c r="H52" s="141">
        <f ca="1">G52-F52</f>
        <v>0.85467075500753609</v>
      </c>
      <c r="I52" s="512">
        <f ca="1">IFERROR(H52/F52*100,0)</f>
        <v>8.6149177102616363</v>
      </c>
      <c r="J52" s="141">
        <f ca="1">G52</f>
        <v>10.775493956713772</v>
      </c>
      <c r="K52" s="141">
        <f ca="1">SUMIFS('Sch.15,51,53,54'!$G:$G,'Sch.15,51,53,54'!$A:$A,K$75&amp;K$31,'Sch.15,51,53,54'!$B:$B,"$",'Sch.15,51,53,54'!$C:$C,$B52,'Sch.15,51,53,54'!$D:$D,$A52)/$Q$28</f>
        <v>11.446160315774705</v>
      </c>
      <c r="L52" s="141">
        <f ca="1">K52-J52</f>
        <v>0.67066635906093275</v>
      </c>
      <c r="M52" s="477">
        <f ca="1">IFERROR(L52/J52*100,0)</f>
        <v>6.2239964288882348</v>
      </c>
      <c r="N52" s="291">
        <f ca="1">K52-F52</f>
        <v>1.5253371140684688</v>
      </c>
      <c r="O52" s="477">
        <f t="shared" ca="1" si="21"/>
        <v>15.375106309788217</v>
      </c>
      <c r="P52" s="599"/>
    </row>
    <row r="53" spans="1:16" s="463" customFormat="1" ht="15.75" customHeight="1">
      <c r="A53" s="475" t="s">
        <v>7</v>
      </c>
      <c r="B53" s="302" t="s">
        <v>229</v>
      </c>
      <c r="C53" s="302" t="s">
        <v>559</v>
      </c>
      <c r="D53" s="299" cm="1">
        <f t="array" ref="D53">IF(OR(B53={"Schedule 15","Schedule 51","Schedule 53"}),SUMIFS(RVN!H:H,RVN!A:A,A53,RVN!J:J,B53)/12,SUMIFS('Normalized Units'!I:I,'Normalized Units'!H:H,"Bill",'Normalized Units'!C:C,B53,'Normalized Units'!D:D,A53)/12+SUM(SUMIFS('Normalized Units'!I:I,'Normalized Units'!H:H,{"Annual Bill","Load Size","Load Size Minimum"},'Normalized Units'!C:C,B53,'Normalized Units'!D:D,A53)))</f>
        <v>407.7166666666667</v>
      </c>
      <c r="E53" s="291">
        <f>SUMIFS('Normalized Units'!I:I,'Normalized Units'!B:B,"Normalized Billing Units",'Normalized Units'!C:C,B53,'Normalized Units'!D:D,A53,'Normalized Units'!H:H,"kWh*")/$Q$28</f>
        <v>15212.35759661524</v>
      </c>
      <c r="F53" s="141">
        <f>SUMIFS(Sch.24!$S:$S,Sch.24!$N:$N,F$75&amp;F$31,Sch.24!$O:$O,"$",Sch.24!$P:$P,$A53)/$Q$28</f>
        <v>1632.0951142660285</v>
      </c>
      <c r="G53" s="141">
        <f ca="1">SUMIFS(Sch.24!$S:$S,Sch.24!$N:$N,G$75&amp;G$31,Sch.24!$O:$O,"$",Sch.24!$P:$P,$A53)/$Q$28</f>
        <v>1628.5748185447712</v>
      </c>
      <c r="H53" s="141">
        <f t="shared" ref="H53:H57" ca="1" si="36">G53-F53</f>
        <v>-3.5202957212572983</v>
      </c>
      <c r="I53" s="512">
        <f t="shared" ref="I53:I57" ca="1" si="37">IFERROR(H53/F53*100,0)</f>
        <v>-0.21569182399277109</v>
      </c>
      <c r="J53" s="141">
        <f t="shared" ref="J53:J57" ca="1" si="38">G53</f>
        <v>1628.5748185447712</v>
      </c>
      <c r="K53" s="141">
        <f ca="1">SUMIFS(Sch.24!$S:$S,Sch.24!$N:$N,K$75&amp;K$31,Sch.24!$O:$O,"$",Sch.24!$P:$P,$A53)/$Q$28</f>
        <v>1729.9996028562853</v>
      </c>
      <c r="L53" s="141">
        <f t="shared" ref="L53:L57" ca="1" si="39">K53-J53</f>
        <v>101.42478431151403</v>
      </c>
      <c r="M53" s="477">
        <f t="shared" ref="M53:M57" ca="1" si="40">IFERROR(L53/J53*100,0)</f>
        <v>6.2278246695563624</v>
      </c>
      <c r="N53" s="291">
        <f t="shared" ref="N53:N57" ca="1" si="41">K53-F53</f>
        <v>97.904488590256733</v>
      </c>
      <c r="O53" s="477">
        <f t="shared" ca="1" si="21"/>
        <v>5.9986999369387535</v>
      </c>
      <c r="P53" s="599"/>
    </row>
    <row r="54" spans="1:16" s="463" customFormat="1" ht="15.75" customHeight="1">
      <c r="A54" s="475" t="s">
        <v>7</v>
      </c>
      <c r="B54" s="302" t="s">
        <v>279</v>
      </c>
      <c r="C54" s="302" t="s">
        <v>550</v>
      </c>
      <c r="D54" s="299" cm="1">
        <f t="array" ref="D54">IF(OR(B54={"Schedule 15","Schedule 51","Schedule 53"}),SUMIFS(RVN!H:H,RVN!A:A,A54,RVN!J:J,B54)/12,SUMIFS('Normalized Units'!I:I,'Normalized Units'!H:H,"Bill",'Normalized Units'!C:C,B54,'Normalized Units'!D:D,A54)/12+SUM(SUMIFS('Normalized Units'!I:I,'Normalized Units'!H:H,{"Annual Bill","Load Size","Load Size Minimum"},'Normalized Units'!C:C,B54,'Normalized Units'!D:D,A54)))</f>
        <v>95.697222222222237</v>
      </c>
      <c r="E54" s="291">
        <f>SUMIFS('Normalized Units'!I:I,'Normalized Units'!B:B,"Normalized Billing Units",'Normalized Units'!C:C,B54,'Normalized Units'!D:D,A54,'Normalized Units'!H:H,"kWh*")/$Q$28</f>
        <v>88065.749447729948</v>
      </c>
      <c r="F54" s="141">
        <f>SUMIFS('Sch.29,36'!$S:$S,'Sch.29,36'!$M:$M,F$75&amp;F$31,'Sch.29,36'!$N:$N,"$",'Sch.29,36'!$P:$P,$A54)/$Q$28</f>
        <v>8391.109873566189</v>
      </c>
      <c r="G54" s="141">
        <f ca="1">SUMIFS('Sch.29,36'!$S:$S,'Sch.29,36'!$M:$M,G$75&amp;G$31,'Sch.29,36'!$N:$N,"$",'Sch.29,36'!$P:$P,$A54)/$Q$28</f>
        <v>8694.6563994121698</v>
      </c>
      <c r="H54" s="141">
        <f t="shared" ca="1" si="36"/>
        <v>303.5465258459808</v>
      </c>
      <c r="I54" s="512">
        <f t="shared" ca="1" si="37"/>
        <v>3.6174776688625898</v>
      </c>
      <c r="J54" s="141">
        <f t="shared" ca="1" si="38"/>
        <v>8694.6563994121698</v>
      </c>
      <c r="K54" s="141">
        <f ca="1">SUMIFS('Sch.29,36'!$S:$S,'Sch.29,36'!$M:$M,K$75&amp;K$31,'Sch.29,36'!$N:$N,"$",'Sch.29,36'!$P:$P,$A54)/$Q$28</f>
        <v>9260.4162718608532</v>
      </c>
      <c r="L54" s="141">
        <f t="shared" ca="1" si="39"/>
        <v>565.75987244868338</v>
      </c>
      <c r="M54" s="477">
        <f t="shared" ca="1" si="40"/>
        <v>6.5069836743282163</v>
      </c>
      <c r="N54" s="291">
        <f t="shared" ca="1" si="41"/>
        <v>869.30639829466418</v>
      </c>
      <c r="O54" s="477">
        <f t="shared" ca="1" si="21"/>
        <v>10.359850024526164</v>
      </c>
      <c r="P54" s="599"/>
    </row>
    <row r="55" spans="1:16" s="463" customFormat="1" ht="15.75" customHeight="1">
      <c r="A55" s="475" t="s">
        <v>7</v>
      </c>
      <c r="B55" s="302" t="s">
        <v>587</v>
      </c>
      <c r="C55" s="302" t="s">
        <v>560</v>
      </c>
      <c r="D55" s="299">
        <f>('Normalized Units'!I91+'Normalized Units'!I108+'Normalized Units'!I109+'Normalized Units'!I114)/12</f>
        <v>30</v>
      </c>
      <c r="E55" s="291" cm="1">
        <f t="array" ref="E55">SUM(SUMIFS('Normalized Units'!I:I,'Normalized Units'!B:B,"Normalized Billing Units",'Normalized Units'!C:C,{"Schedule 47T","Schedule 48T"},'Normalized Units'!D:D,A55,'Normalized Units'!H:H,"kWh*"))/$Q$28</f>
        <v>202364.62218044893</v>
      </c>
      <c r="F55" s="141">
        <f>SUM(SUMIFS(Sch.48T!$T:$T,Sch.48T!$N:$N,F$75&amp;F$31,Sch.48T!$O:$O,"$",Sch.48T!$P:$P,$A55),SUMIFS(Sch.47T!$F:$F,Sch.47T!$A:$A,F$75&amp;F$31,Sch.47T!$B:$B,"$"))/$Q$28</f>
        <v>17056.678559394106</v>
      </c>
      <c r="G55" s="141">
        <f ca="1">SUM(SUMIFS(Sch.48T!$T:$T,Sch.48T!$N:$N,G$75&amp;G$31,Sch.48T!$O:$O,"$",Sch.48T!$P:$P,$A55),SUMIFS(Sch.47T!$F:$F,Sch.47T!$A:$A,G$75&amp;G$31,Sch.47T!$B:$B,"$"))/$Q$28</f>
        <v>18606.788794783115</v>
      </c>
      <c r="H55" s="141">
        <f t="shared" ca="1" si="36"/>
        <v>1550.1102353890092</v>
      </c>
      <c r="I55" s="512">
        <f t="shared" ca="1" si="37"/>
        <v>9.0879958251618298</v>
      </c>
      <c r="J55" s="141">
        <f t="shared" ca="1" si="38"/>
        <v>18606.788794783115</v>
      </c>
      <c r="K55" s="141">
        <f ca="1">SUM(SUMIFS(Sch.48T!$T:$T,Sch.48T!$N:$N,K$75&amp;K$31,Sch.48T!$O:$O,"$",Sch.48T!$P:$P,$A55),SUMIFS(Sch.47T!$F:$F,Sch.47T!$A:$A,K$75&amp;K$31,Sch.47T!$B:$B,"$"))/$Q$28</f>
        <v>19811.440993519584</v>
      </c>
      <c r="L55" s="141">
        <f t="shared" ca="1" si="39"/>
        <v>1204.6521987364686</v>
      </c>
      <c r="M55" s="477">
        <f t="shared" ca="1" si="40"/>
        <v>6.4742616903042576</v>
      </c>
      <c r="N55" s="291">
        <f t="shared" ca="1" si="41"/>
        <v>2754.7624341254777</v>
      </c>
      <c r="O55" s="477">
        <f t="shared" ca="1" si="21"/>
        <v>16.150638147590989</v>
      </c>
      <c r="P55" s="599"/>
    </row>
    <row r="56" spans="1:16" s="463" customFormat="1" ht="15.75" customHeight="1">
      <c r="A56" s="475" t="s">
        <v>7</v>
      </c>
      <c r="B56" s="302" t="s">
        <v>287</v>
      </c>
      <c r="C56" s="302" t="s">
        <v>563</v>
      </c>
      <c r="D56" s="299" cm="1">
        <f t="array" ref="D56">IF(OR(B56={"Schedule 15","Schedule 51","Schedule 53"}),SUMIFS(RVN!H:H,RVN!A:A,A56,RVN!J:J,B56)/12,SUMIFS('Normalized Units'!I:I,'Normalized Units'!H:H,"Bill",'Normalized Units'!C:C,B56,'Normalized Units'!D:D,A56)/12+SUM(SUMIFS('Normalized Units'!I:I,'Normalized Units'!H:H,{"Annual Bill","Load Size","Load Size Minimum"},'Normalized Units'!C:C,B56,'Normalized Units'!D:D,A56)))</f>
        <v>1</v>
      </c>
      <c r="E56" s="291">
        <f>SUMIFS('Normalized Units'!I:I,'Normalized Units'!B:B,"Normalized Billing Units",'Normalized Units'!C:C,B56,'Normalized Units'!D:D,A56,'Normalized Units'!H:H,"kWh*")/$Q$28</f>
        <v>544168.56528857455</v>
      </c>
      <c r="F56" s="141">
        <f>SUMIFS('Sch.48T-DF'!$O:$O,'Sch.48T-DF'!$L:$L,F$75&amp;F$31,'Sch.48T-DF'!$M:$M,"$")/$Q$28</f>
        <v>38671.30532491656</v>
      </c>
      <c r="G56" s="141">
        <f ca="1">SUMIFS('Sch.48T-DF'!$O:$O,'Sch.48T-DF'!$L:$L,G$75&amp;G$31,'Sch.48T-DF'!$M:$M,"$")/$Q$28</f>
        <v>42204.374281160875</v>
      </c>
      <c r="H56" s="141">
        <f t="shared" ca="1" si="36"/>
        <v>3533.0689562443149</v>
      </c>
      <c r="I56" s="512">
        <f t="shared" ca="1" si="37"/>
        <v>9.1361512795067217</v>
      </c>
      <c r="J56" s="141">
        <f t="shared" ca="1" si="38"/>
        <v>42204.374281160875</v>
      </c>
      <c r="K56" s="141">
        <f ca="1">SUMIFS('Sch.48T-DF'!$O:$O,'Sch.48T-DF'!$L:$L,K$75&amp;K$31,'Sch.48T-DF'!$M:$M,"$")/$Q$28</f>
        <v>44955.767521329479</v>
      </c>
      <c r="L56" s="141">
        <f t="shared" ca="1" si="39"/>
        <v>2751.3932401686034</v>
      </c>
      <c r="M56" s="477">
        <f t="shared" ca="1" si="40"/>
        <v>6.5192134394390626</v>
      </c>
      <c r="N56" s="291">
        <f t="shared" ca="1" si="41"/>
        <v>6284.4621964129183</v>
      </c>
      <c r="O56" s="477">
        <f t="shared" ca="1" si="21"/>
        <v>16.25096992100687</v>
      </c>
      <c r="P56" s="599"/>
    </row>
    <row r="57" spans="1:16" s="463" customFormat="1" ht="15.75" customHeight="1">
      <c r="A57" s="475" t="s">
        <v>7</v>
      </c>
      <c r="B57" s="102" t="s">
        <v>558</v>
      </c>
      <c r="C57" s="102" t="s">
        <v>369</v>
      </c>
      <c r="D57" s="299" cm="1">
        <f t="array" ref="D57">IF(OR(B57={"Schedule 15","Schedule 51","Schedule 53"}),SUMIFS(RVN!H:H,RVN!A:A,A57,RVN!J:J,B57)/12,SUMIFS('Normalized Units'!I:I,'Normalized Units'!H:H,"Bill",'Normalized Units'!C:C,B57,'Normalized Units'!D:D,A57)/12+SUM(SUMIFS('Normalized Units'!I:I,'Normalized Units'!H:H,{"Annual Bill","Load Size","Load Size Minimum"},'Normalized Units'!C:C,B57,'Normalized Units'!D:D,A57)))</f>
        <v>0</v>
      </c>
      <c r="E57" s="291">
        <f>SUMIFS('Normalized Units'!I:I,'Normalized Units'!B:B,"Normalized Billing Units",'Normalized Units'!C:C,B57,'Normalized Units'!D:D,A57,'Normalized Units'!H:H,"kWh*")/$Q$28</f>
        <v>0</v>
      </c>
      <c r="F57" s="141">
        <f>SUMIFS('AutoPay&amp;Paperless'!$F:$F,'AutoPay&amp;Paperless'!$C:$C,"$",'AutoPay&amp;Paperless'!$D:$D,$A57,'AutoPay&amp;Paperless'!$E:$E,$C57)/$Q$28</f>
        <v>-0.42599999999999999</v>
      </c>
      <c r="G57" s="141">
        <f>SUMIFS('AutoPay&amp;Paperless'!$F:$F,'AutoPay&amp;Paperless'!$C:$C,"$",'AutoPay&amp;Paperless'!$D:$D,$A57,'AutoPay&amp;Paperless'!$E:$E,$C57)/$Q$28</f>
        <v>-0.42599999999999999</v>
      </c>
      <c r="H57" s="141">
        <f t="shared" si="36"/>
        <v>0</v>
      </c>
      <c r="I57" s="512">
        <f t="shared" si="37"/>
        <v>0</v>
      </c>
      <c r="J57" s="141">
        <f t="shared" si="38"/>
        <v>-0.42599999999999999</v>
      </c>
      <c r="K57" s="141">
        <f>SUMIFS('AutoPay&amp;Paperless'!$F:$F,'AutoPay&amp;Paperless'!$C:$C,"$",'AutoPay&amp;Paperless'!$D:$D,$A57,'AutoPay&amp;Paperless'!$E:$E,$C57)/$Q$28</f>
        <v>-0.42599999999999999</v>
      </c>
      <c r="L57" s="141">
        <f t="shared" si="39"/>
        <v>0</v>
      </c>
      <c r="M57" s="477">
        <f t="shared" si="40"/>
        <v>0</v>
      </c>
      <c r="N57" s="291">
        <f t="shared" si="41"/>
        <v>0</v>
      </c>
      <c r="O57" s="477">
        <f t="shared" si="21"/>
        <v>0</v>
      </c>
      <c r="P57" s="599"/>
    </row>
    <row r="58" spans="1:16" s="463" customFormat="1" ht="15.75" customHeight="1">
      <c r="A58" s="475" t="s">
        <v>7</v>
      </c>
      <c r="B58" s="102" t="s">
        <v>558</v>
      </c>
      <c r="C58" s="102" t="s">
        <v>370</v>
      </c>
      <c r="D58" s="299" cm="1">
        <f t="array" ref="D58">IF(OR(B58={"Schedule 15","Schedule 51","Schedule 53"}),SUMIFS(RVN!H:H,RVN!A:A,A58,RVN!J:J,B58)/12,SUMIFS('Normalized Units'!I:I,'Normalized Units'!H:H,"Bill",'Normalized Units'!C:C,B58,'Normalized Units'!D:D,A58)/12+SUM(SUMIFS('Normalized Units'!I:I,'Normalized Units'!H:H,{"Annual Bill","Load Size","Load Size Minimum"},'Normalized Units'!C:C,B58,'Normalized Units'!D:D,A58)))</f>
        <v>0</v>
      </c>
      <c r="E58" s="291">
        <f>SUMIFS('Normalized Units'!I:I,'Normalized Units'!B:B,"Normalized Billing Units",'Normalized Units'!C:C,B58,'Normalized Units'!D:D,A58,'Normalized Units'!H:H,"kWh*")/$Q$28</f>
        <v>0</v>
      </c>
      <c r="F58" s="141">
        <f>SUMIFS('AutoPay&amp;Paperless'!$F:$F,'AutoPay&amp;Paperless'!$C:$C,"$",'AutoPay&amp;Paperless'!$D:$D,$A58,'AutoPay&amp;Paperless'!$E:$E,$C58)/$Q$28</f>
        <v>-0.748</v>
      </c>
      <c r="G58" s="141">
        <f>SUMIFS('AutoPay&amp;Paperless'!$F:$F,'AutoPay&amp;Paperless'!$C:$C,"$",'AutoPay&amp;Paperless'!$D:$D,$A58,'AutoPay&amp;Paperless'!$E:$E,$C58)/$Q$28</f>
        <v>-0.748</v>
      </c>
      <c r="H58" s="141">
        <f>G58-F58</f>
        <v>0</v>
      </c>
      <c r="I58" s="512">
        <f>IFERROR(H58/F58*100,0)</f>
        <v>0</v>
      </c>
      <c r="J58" s="141">
        <f>G58</f>
        <v>-0.748</v>
      </c>
      <c r="K58" s="141">
        <f>SUMIFS('AutoPay&amp;Paperless'!$F:$F,'AutoPay&amp;Paperless'!$C:$C,"$",'AutoPay&amp;Paperless'!$D:$D,$A58,'AutoPay&amp;Paperless'!$E:$E,$C58)/$Q$28</f>
        <v>-0.748</v>
      </c>
      <c r="L58" s="141">
        <f>K58-J58</f>
        <v>0</v>
      </c>
      <c r="M58" s="477">
        <f>IFERROR(L58/J58*100,0)</f>
        <v>0</v>
      </c>
      <c r="N58" s="291">
        <f>K58-F58</f>
        <v>0</v>
      </c>
      <c r="O58" s="477">
        <f t="shared" si="21"/>
        <v>0</v>
      </c>
      <c r="P58" s="599"/>
    </row>
    <row r="59" spans="1:16" s="463" customFormat="1" ht="15.75" customHeight="1">
      <c r="A59" s="474" t="s">
        <v>7</v>
      </c>
      <c r="B59" s="102" t="s">
        <v>558</v>
      </c>
      <c r="C59" s="302" t="s">
        <v>352</v>
      </c>
      <c r="D59" s="299" cm="1">
        <f t="array" ref="D59">IF(OR(B59={"Schedule 15","Schedule 51","Schedule 53"}),SUMIFS(RVN!H:H,RVN!A:A,A59,RVN!J:J,B59)/12,SUMIFS('Normalized Units'!I:I,'Normalized Units'!H:H,"Bill",'Normalized Units'!C:C,B59,'Normalized Units'!D:D,A59)/12+SUM(SUMIFS('Normalized Units'!I:I,'Normalized Units'!H:H,{"Annual Bill","Load Size","Load Size Minimum"},'Normalized Units'!C:C,B59,'Normalized Units'!D:D,A59)))</f>
        <v>0</v>
      </c>
      <c r="E59" s="291">
        <f>SUMIFS('Normalized Units'!I:I,'Normalized Units'!B:B,"Normalized Billing Units",'Normalized Units'!C:C,B59,'Normalized Units'!D:D,A59,'Normalized Units'!H:H,"kWh*")/$Q$28</f>
        <v>0</v>
      </c>
      <c r="F59" s="142">
        <f>SUMIFS(RVN!$F:$F,RVN!$A:$A,$A59,RVN!$J:$J,$C59)/$Q$28</f>
        <v>11.579079999999999</v>
      </c>
      <c r="G59" s="142">
        <f>SUMIFS(RVN!$F:$F,RVN!$A:$A,$A59,RVN!$J:$J,$C59)/$Q$28</f>
        <v>11.579079999999999</v>
      </c>
      <c r="H59" s="141">
        <f>G59-F59</f>
        <v>0</v>
      </c>
      <c r="I59" s="512">
        <f>IFERROR(H59/F59*100,0)</f>
        <v>0</v>
      </c>
      <c r="J59" s="141">
        <f>G59</f>
        <v>11.579079999999999</v>
      </c>
      <c r="K59" s="142">
        <f>SUMIFS(RVN!$F:$F,RVN!$A:$A,$A59,RVN!$J:$J,$C59)/$Q$28</f>
        <v>11.579079999999999</v>
      </c>
      <c r="L59" s="141">
        <f>K59-J59</f>
        <v>0</v>
      </c>
      <c r="M59" s="477">
        <f>IFERROR(L59/J59*100,0)</f>
        <v>0</v>
      </c>
      <c r="N59" s="291">
        <f>K59-F59</f>
        <v>0</v>
      </c>
      <c r="O59" s="477">
        <f t="shared" si="21"/>
        <v>0</v>
      </c>
      <c r="P59" s="599"/>
    </row>
    <row r="60" spans="1:16" s="463" customFormat="1" ht="15.75" customHeight="1">
      <c r="A60" s="479" t="s">
        <v>7</v>
      </c>
      <c r="B60" s="424" t="s">
        <v>195</v>
      </c>
      <c r="C60" s="424" t="s">
        <v>195</v>
      </c>
      <c r="D60" s="489">
        <f>SUM(D52:D59)</f>
        <v>584.58055555555563</v>
      </c>
      <c r="E60" s="489">
        <f t="shared" ref="E60:H60" si="42">SUM(E52:E59)</f>
        <v>849934.08196338546</v>
      </c>
      <c r="F60" s="489">
        <f t="shared" si="42"/>
        <v>65771.514775344564</v>
      </c>
      <c r="G60" s="489">
        <f t="shared" ca="1" si="42"/>
        <v>71155.574867857635</v>
      </c>
      <c r="H60" s="489">
        <f t="shared" ca="1" si="42"/>
        <v>5384.0600925130548</v>
      </c>
      <c r="I60" s="514">
        <f ca="1">IFERROR(H60/F60*100,0)</f>
        <v>8.1860059189808272</v>
      </c>
      <c r="J60" s="489">
        <f t="shared" ref="J60:N60" ca="1" si="43">SUM(J52:J59)</f>
        <v>71155.574867857635</v>
      </c>
      <c r="K60" s="489">
        <f t="shared" ca="1" si="43"/>
        <v>75779.475629881956</v>
      </c>
      <c r="L60" s="489">
        <f t="shared" ca="1" si="43"/>
        <v>4623.9007620243301</v>
      </c>
      <c r="M60" s="480">
        <f ca="1">IFERROR(L60/J60*100,0)</f>
        <v>6.4982972460152748</v>
      </c>
      <c r="N60" s="489">
        <f t="shared" ca="1" si="43"/>
        <v>10007.960854537385</v>
      </c>
      <c r="O60" s="492">
        <f t="shared" ca="1" si="21"/>
        <v>15.21625416218788</v>
      </c>
      <c r="P60" s="599"/>
    </row>
    <row r="61" spans="1:16" s="463" customFormat="1" ht="15.75" customHeight="1">
      <c r="A61" s="485"/>
      <c r="B61" s="331"/>
      <c r="C61" s="331"/>
      <c r="D61" s="298"/>
      <c r="E61" s="282"/>
      <c r="F61" s="268"/>
      <c r="G61" s="268"/>
      <c r="H61" s="268"/>
      <c r="I61" s="517"/>
      <c r="J61" s="268"/>
      <c r="K61" s="268"/>
      <c r="L61" s="268"/>
      <c r="M61" s="484"/>
      <c r="N61" s="282"/>
      <c r="O61" s="484">
        <f t="shared" si="21"/>
        <v>0</v>
      </c>
      <c r="P61" s="599"/>
    </row>
    <row r="62" spans="1:16" s="463" customFormat="1" ht="15.75" customHeight="1">
      <c r="A62" s="475" t="s">
        <v>179</v>
      </c>
      <c r="B62" s="302" t="s">
        <v>152</v>
      </c>
      <c r="C62" s="302" t="s">
        <v>556</v>
      </c>
      <c r="D62" s="299" cm="1">
        <f t="array" ref="D62">IF(OR(B62={"Schedule 15","Schedule 51","Schedule 53"}),SUMIFS(RVN!H:H,RVN!A:A,A62,RVN!J:J,B62)/12,SUMIFS('Normalized Units'!I:I,'Normalized Units'!H:H,"Bill",'Normalized Units'!C:C,B62,'Normalized Units'!D:D,A62)/12+SUM(SUMIFS('Normalized Units'!I:I,'Normalized Units'!H:H,{"Annual Bill","Load Size","Load Size Minimum"},'Normalized Units'!C:C,B62,'Normalized Units'!D:D,A62)))</f>
        <v>5140.8634747118504</v>
      </c>
      <c r="E62" s="291">
        <f>SUMIFS('Normalized Units'!I:I,'Normalized Units'!B:B,"Normalized Billing Units",'Normalized Units'!C:C,B62,'Normalized Units'!D:D,A62,'Normalized Units'!H:H,"kWh*")/$Q$28</f>
        <v>152841.48716573825</v>
      </c>
      <c r="F62" s="141">
        <f>SUMIFS(Sch.40!$S:$S,Sch.40!$N:$N,F$75&amp;F$31,Sch.40!$O:$O,"$")/$Q$28</f>
        <v>14475.016400296861</v>
      </c>
      <c r="G62" s="141">
        <f ca="1">SUMIFS(Sch.40!$S:$S,Sch.40!$N:$N,G$75&amp;G$31,Sch.40!$O:$O,"$")/$Q$28</f>
        <v>15792.075428738721</v>
      </c>
      <c r="H62" s="141">
        <f ca="1">G62-F62</f>
        <v>1317.0590284418595</v>
      </c>
      <c r="I62" s="512">
        <f ca="1">IFERROR(H62/F62*100,0)</f>
        <v>9.0988430825877931</v>
      </c>
      <c r="J62" s="141">
        <f ca="1">G62</f>
        <v>15792.075428738721</v>
      </c>
      <c r="K62" s="141">
        <f ca="1">SUMIFS(Sch.40!$S:$S,Sch.40!$N:$N,K$75&amp;K$31,Sch.40!$O:$O,"$")/$Q$28</f>
        <v>16824.662649711008</v>
      </c>
      <c r="L62" s="141">
        <f ca="1">K62-J62</f>
        <v>1032.5872209722875</v>
      </c>
      <c r="M62" s="477">
        <f ca="1">IFERROR(L62/J62*100,0)</f>
        <v>6.538641647399718</v>
      </c>
      <c r="N62" s="291">
        <f ca="1">K62-F62</f>
        <v>2349.646249414147</v>
      </c>
      <c r="O62" s="477">
        <f t="shared" ca="1" si="21"/>
        <v>16.232425473217145</v>
      </c>
      <c r="P62" s="599"/>
    </row>
    <row r="63" spans="1:16" s="463" customFormat="1" ht="15.75" customHeight="1">
      <c r="A63" s="475" t="s">
        <v>179</v>
      </c>
      <c r="B63" s="102" t="s">
        <v>558</v>
      </c>
      <c r="C63" s="102" t="s">
        <v>369</v>
      </c>
      <c r="D63" s="299" cm="1">
        <f t="array" ref="D63">IF(OR(B63={"Schedule 15","Schedule 51","Schedule 53"}),SUMIFS(RVN!H:H,RVN!A:A,A63,RVN!J:J,B63)/12,SUMIFS('Normalized Units'!I:I,'Normalized Units'!H:H,"Bill",'Normalized Units'!C:C,B63,'Normalized Units'!D:D,A63)/12+SUM(SUMIFS('Normalized Units'!I:I,'Normalized Units'!H:H,{"Annual Bill","Load Size","Load Size Minimum"},'Normalized Units'!C:C,B63,'Normalized Units'!D:D,A63)))</f>
        <v>0</v>
      </c>
      <c r="E63" s="291">
        <f>SUMIFS('Normalized Units'!I:I,'Normalized Units'!B:B,"Normalized Billing Units",'Normalized Units'!C:C,B63,'Normalized Units'!D:D,A63,'Normalized Units'!H:H,"kWh*")/$Q$28</f>
        <v>0</v>
      </c>
      <c r="F63" s="141">
        <f>SUMIFS('AutoPay&amp;Paperless'!$F:$F,'AutoPay&amp;Paperless'!$C:$C,"$",'AutoPay&amp;Paperless'!$D:$D,$A63,'AutoPay&amp;Paperless'!$E:$E,$C63)/$Q$28</f>
        <v>-7.2539999999999996</v>
      </c>
      <c r="G63" s="141">
        <f>SUMIFS('AutoPay&amp;Paperless'!$F:$F,'AutoPay&amp;Paperless'!$C:$C,"$",'AutoPay&amp;Paperless'!$D:$D,$A63,'AutoPay&amp;Paperless'!$E:$E,$C63)/$Q$28</f>
        <v>-7.2539999999999996</v>
      </c>
      <c r="H63" s="141">
        <f t="shared" ref="H63:H65" si="44">G63-F63</f>
        <v>0</v>
      </c>
      <c r="I63" s="512">
        <f t="shared" ref="I63:I65" si="45">IFERROR(H63/F63*100,0)</f>
        <v>0</v>
      </c>
      <c r="J63" s="141">
        <f t="shared" ref="J63:J65" si="46">G63</f>
        <v>-7.2539999999999996</v>
      </c>
      <c r="K63" s="141">
        <f>SUMIFS('AutoPay&amp;Paperless'!$F:$F,'AutoPay&amp;Paperless'!$C:$C,"$",'AutoPay&amp;Paperless'!$D:$D,$A63,'AutoPay&amp;Paperless'!$E:$E,$C63)/$Q$28</f>
        <v>-7.2539999999999996</v>
      </c>
      <c r="L63" s="141">
        <f t="shared" ref="L63:L65" si="47">K63-J63</f>
        <v>0</v>
      </c>
      <c r="M63" s="477">
        <f t="shared" ref="M63:M65" si="48">IFERROR(L63/J63*100,0)</f>
        <v>0</v>
      </c>
      <c r="N63" s="291">
        <f t="shared" ref="N63:N65" si="49">K63-F63</f>
        <v>0</v>
      </c>
      <c r="O63" s="477">
        <f t="shared" si="21"/>
        <v>0</v>
      </c>
      <c r="P63" s="599"/>
    </row>
    <row r="64" spans="1:16" s="463" customFormat="1" ht="15.75" customHeight="1">
      <c r="A64" s="475" t="s">
        <v>179</v>
      </c>
      <c r="B64" s="102" t="s">
        <v>558</v>
      </c>
      <c r="C64" s="102" t="s">
        <v>370</v>
      </c>
      <c r="D64" s="299" cm="1">
        <f t="array" ref="D64">IF(OR(B64={"Schedule 15","Schedule 51","Schedule 53"}),SUMIFS(RVN!H:H,RVN!A:A,A64,RVN!J:J,B64)/12,SUMIFS('Normalized Units'!I:I,'Normalized Units'!H:H,"Bill",'Normalized Units'!C:C,B64,'Normalized Units'!D:D,A64)/12+SUM(SUMIFS('Normalized Units'!I:I,'Normalized Units'!H:H,{"Annual Bill","Load Size","Load Size Minimum"},'Normalized Units'!C:C,B64,'Normalized Units'!D:D,A64)))</f>
        <v>0</v>
      </c>
      <c r="E64" s="291">
        <f>SUMIFS('Normalized Units'!I:I,'Normalized Units'!B:B,"Normalized Billing Units",'Normalized Units'!C:C,B64,'Normalized Units'!D:D,A64,'Normalized Units'!H:H,"kWh*")/$Q$28</f>
        <v>0</v>
      </c>
      <c r="F64" s="141">
        <f>SUMIFS('AutoPay&amp;Paperless'!$F:$F,'AutoPay&amp;Paperless'!$C:$C,"$",'AutoPay&amp;Paperless'!$D:$D,$A64,'AutoPay&amp;Paperless'!$E:$E,$C64)/$Q$28</f>
        <v>-6.3845000000000001</v>
      </c>
      <c r="G64" s="141">
        <f>SUMIFS('AutoPay&amp;Paperless'!$F:$F,'AutoPay&amp;Paperless'!$C:$C,"$",'AutoPay&amp;Paperless'!$D:$D,$A64,'AutoPay&amp;Paperless'!$E:$E,$C64)/$Q$28</f>
        <v>-6.3845000000000001</v>
      </c>
      <c r="H64" s="141">
        <f t="shared" si="44"/>
        <v>0</v>
      </c>
      <c r="I64" s="512">
        <f t="shared" si="45"/>
        <v>0</v>
      </c>
      <c r="J64" s="141">
        <f t="shared" si="46"/>
        <v>-6.3845000000000001</v>
      </c>
      <c r="K64" s="141">
        <f>SUMIFS('AutoPay&amp;Paperless'!$F:$F,'AutoPay&amp;Paperless'!$C:$C,"$",'AutoPay&amp;Paperless'!$D:$D,$A64,'AutoPay&amp;Paperless'!$E:$E,$C64)/$Q$28</f>
        <v>-6.3845000000000001</v>
      </c>
      <c r="L64" s="141">
        <f t="shared" si="47"/>
        <v>0</v>
      </c>
      <c r="M64" s="477">
        <f t="shared" si="48"/>
        <v>0</v>
      </c>
      <c r="N64" s="291">
        <f t="shared" si="49"/>
        <v>0</v>
      </c>
      <c r="O64" s="477">
        <f t="shared" si="21"/>
        <v>0</v>
      </c>
      <c r="P64" s="599"/>
    </row>
    <row r="65" spans="1:16" s="463" customFormat="1" ht="15.75" customHeight="1">
      <c r="A65" s="474" t="s">
        <v>179</v>
      </c>
      <c r="B65" s="102" t="s">
        <v>558</v>
      </c>
      <c r="C65" s="302" t="s">
        <v>352</v>
      </c>
      <c r="D65" s="299" cm="1">
        <f t="array" ref="D65">IF(OR(B65={"Schedule 15","Schedule 51","Schedule 53"}),SUMIFS(RVN!H:H,RVN!A:A,A65,RVN!J:J,B65)/12,SUMIFS('Normalized Units'!I:I,'Normalized Units'!H:H,"Bill",'Normalized Units'!C:C,B65,'Normalized Units'!D:D,A65)/12+SUM(SUMIFS('Normalized Units'!I:I,'Normalized Units'!H:H,{"Annual Bill","Load Size","Load Size Minimum"},'Normalized Units'!C:C,B65,'Normalized Units'!D:D,A65)))</f>
        <v>0</v>
      </c>
      <c r="E65" s="291">
        <f>SUMIFS('Normalized Units'!I:I,'Normalized Units'!B:B,"Normalized Billing Units",'Normalized Units'!C:C,B65,'Normalized Units'!D:D,A65,'Normalized Units'!H:H,"kWh*")/$Q$28</f>
        <v>0</v>
      </c>
      <c r="F65" s="142">
        <f>SUMIFS(RVN!$F:$F,RVN!$A:$A,$A65,RVN!$J:$J,$C65)/$Q$28</f>
        <v>140.31836999999999</v>
      </c>
      <c r="G65" s="142">
        <f>SUMIFS(RVN!$F:$F,RVN!$A:$A,$A65,RVN!$J:$J,$C65)/$Q$28</f>
        <v>140.31836999999999</v>
      </c>
      <c r="H65" s="141">
        <f t="shared" si="44"/>
        <v>0</v>
      </c>
      <c r="I65" s="512">
        <f t="shared" si="45"/>
        <v>0</v>
      </c>
      <c r="J65" s="141">
        <f t="shared" si="46"/>
        <v>140.31836999999999</v>
      </c>
      <c r="K65" s="142">
        <f>SUMIFS(RVN!$F:$F,RVN!$A:$A,$A65,RVN!$J:$J,$C65)/$Q$28</f>
        <v>140.31836999999999</v>
      </c>
      <c r="L65" s="141">
        <f t="shared" si="47"/>
        <v>0</v>
      </c>
      <c r="M65" s="477">
        <f t="shared" si="48"/>
        <v>0</v>
      </c>
      <c r="N65" s="291">
        <f t="shared" si="49"/>
        <v>0</v>
      </c>
      <c r="O65" s="477">
        <f t="shared" si="21"/>
        <v>0</v>
      </c>
      <c r="P65" s="599"/>
    </row>
    <row r="66" spans="1:16" s="463" customFormat="1" ht="15.75" customHeight="1">
      <c r="A66" s="479" t="s">
        <v>179</v>
      </c>
      <c r="B66" s="424" t="s">
        <v>195</v>
      </c>
      <c r="C66" s="424" t="s">
        <v>195</v>
      </c>
      <c r="D66" s="489">
        <f>SUM(D62:D65)</f>
        <v>5140.8634747118504</v>
      </c>
      <c r="E66" s="489">
        <f t="shared" ref="E66:H66" si="50">SUM(E62:E65)</f>
        <v>152841.48716573825</v>
      </c>
      <c r="F66" s="489">
        <f t="shared" si="50"/>
        <v>14601.696270296861</v>
      </c>
      <c r="G66" s="489">
        <f t="shared" ca="1" si="50"/>
        <v>15918.755298738721</v>
      </c>
      <c r="H66" s="489">
        <f t="shared" ca="1" si="50"/>
        <v>1317.0590284418595</v>
      </c>
      <c r="I66" s="514">
        <f ca="1">IFERROR(H66/F66*100,0)</f>
        <v>9.0199042909901781</v>
      </c>
      <c r="J66" s="489">
        <f ca="1">SUM(J62:J65)</f>
        <v>15918.755298738721</v>
      </c>
      <c r="K66" s="489">
        <f ca="1">SUM(K62:K65)</f>
        <v>16951.342519711008</v>
      </c>
      <c r="L66" s="489">
        <f ca="1">SUM(L62:L65)</f>
        <v>1032.5872209722875</v>
      </c>
      <c r="M66" s="480">
        <f ca="1">IFERROR(L66/J66*100,0)</f>
        <v>6.4866077880731146</v>
      </c>
      <c r="N66" s="489">
        <f ca="1">SUM(N62:N65)</f>
        <v>2349.646249414147</v>
      </c>
      <c r="O66" s="492">
        <f t="shared" ca="1" si="21"/>
        <v>16.091597893279403</v>
      </c>
      <c r="P66" s="599"/>
    </row>
    <row r="67" spans="1:16" s="463" customFormat="1" ht="15.75" customHeight="1">
      <c r="A67" s="485"/>
      <c r="B67" s="331"/>
      <c r="C67" s="331"/>
      <c r="D67" s="298"/>
      <c r="E67" s="282"/>
      <c r="F67" s="268"/>
      <c r="G67" s="268"/>
      <c r="H67" s="268"/>
      <c r="I67" s="517"/>
      <c r="J67" s="268"/>
      <c r="K67" s="268"/>
      <c r="L67" s="268"/>
      <c r="M67" s="484"/>
      <c r="N67" s="282"/>
      <c r="O67" s="484">
        <f t="shared" si="21"/>
        <v>0</v>
      </c>
      <c r="P67" s="599"/>
    </row>
    <row r="68" spans="1:16" ht="15.75" customHeight="1">
      <c r="A68" s="475" t="s">
        <v>167</v>
      </c>
      <c r="B68" s="302" t="s">
        <v>170</v>
      </c>
      <c r="C68" s="302" t="s">
        <v>552</v>
      </c>
      <c r="D68" s="299" cm="1">
        <f t="array" ref="D68">IF(OR(B68={"Schedule 15","Schedule 51","Schedule 53"}),SUMIFS(RVN!H:H,RVN!A:A,A68,RVN!J:J,B68)/12,SUMIFS('Normalized Units'!I:I,'Normalized Units'!H:H,"Bill",'Normalized Units'!C:C,B68,'Normalized Units'!D:D,A68)/12+SUM(SUMIFS('Normalized Units'!I:I,'Normalized Units'!H:H,{"Annual Bill","Load Size","Load Size Minimum"},'Normalized Units'!C:C,B68,'Normalized Units'!D:D,A68)))</f>
        <v>225.91666666666666</v>
      </c>
      <c r="E68" s="291">
        <f>SUMIFS('Normalized Units'!I:I,'Normalized Units'!B:B,"Normalized Billing Units",'Normalized Units'!C:C,B68,'Normalized Units'!D:D,A68,'Normalized Units'!H:H,"kWh*")/$Q$28</f>
        <v>1820.2173769310609</v>
      </c>
      <c r="F68" s="141">
        <f>SUMIFS('Sch.15,51,53,54'!$G:$G,'Sch.15,51,53,54'!$A:$A,F$75&amp;F$31,'Sch.15,51,53,54'!$B:$B,"$",'Sch.15,51,53,54'!$C:$C,$B68,'Sch.15,51,53,54'!$D:$D,$A68)/$Q$28</f>
        <v>464.27096133082063</v>
      </c>
      <c r="G68" s="141">
        <f ca="1">SUMIFS('Sch.15,51,53,54'!$G:$G,'Sch.15,51,53,54'!$A:$A,G$75&amp;G$31,'Sch.15,51,53,54'!$B:$B,"$",'Sch.15,51,53,54'!$C:$C,$B68,'Sch.15,51,53,54'!$D:$D,$A68)/$Q$28</f>
        <v>507.76501687532857</v>
      </c>
      <c r="H68" s="141">
        <f ca="1">G68-F68</f>
        <v>43.494055544507944</v>
      </c>
      <c r="I68" s="512">
        <f ca="1">IFERROR(H68/F68*100,0)</f>
        <v>9.3682481066300944</v>
      </c>
      <c r="J68" s="141">
        <f ca="1">G68</f>
        <v>507.76501687532857</v>
      </c>
      <c r="K68" s="141">
        <f ca="1">SUMIFS('Sch.15,51,53,54'!$G:$G,'Sch.15,51,53,54'!$A:$A,K$75&amp;K$31,'Sch.15,51,53,54'!$B:$B,"$",'Sch.15,51,53,54'!$C:$C,$B68,'Sch.15,51,53,54'!$D:$D,$A68)/$Q$28</f>
        <v>541.85525418708471</v>
      </c>
      <c r="L68" s="141">
        <f ca="1">K68-J68</f>
        <v>34.090237311756141</v>
      </c>
      <c r="M68" s="477">
        <f ca="1">IFERROR(L68/J68*100,0)</f>
        <v>6.7137821982183361</v>
      </c>
      <c r="N68" s="291">
        <f ca="1">K68-F68</f>
        <v>77.584292856264085</v>
      </c>
      <c r="O68" s="477">
        <f t="shared" ca="1" si="21"/>
        <v>16.71099407851629</v>
      </c>
      <c r="P68" s="599"/>
    </row>
    <row r="69" spans="1:16" ht="15.75" customHeight="1">
      <c r="A69" s="475" t="s">
        <v>167</v>
      </c>
      <c r="B69" s="302" t="s">
        <v>227</v>
      </c>
      <c r="C69" s="302" t="s">
        <v>553</v>
      </c>
      <c r="D69" s="299" cm="1">
        <f t="array" ref="D69">IF(OR(B69={"Schedule 15","Schedule 51","Schedule 53"}),SUMIFS(RVN!H:H,RVN!A:A,A69,RVN!J:J,B69)/12,SUMIFS('Normalized Units'!I:I,'Normalized Units'!H:H,"Bill",'Normalized Units'!C:C,B69,'Normalized Units'!D:D,A69)/12+SUM(SUMIFS('Normalized Units'!I:I,'Normalized Units'!H:H,{"Annual Bill","Load Size","Load Size Minimum"},'Normalized Units'!C:C,B69,'Normalized Units'!D:D,A69)))</f>
        <v>232.58333333333334</v>
      </c>
      <c r="E69" s="291">
        <f>SUMIFS('Normalized Units'!I:I,'Normalized Units'!B:B,"Normalized Billing Units",'Normalized Units'!C:C,B69,'Normalized Units'!D:D,A69,'Normalized Units'!H:H,"kWh*")/$Q$28</f>
        <v>1961.4729048762861</v>
      </c>
      <c r="F69" s="141">
        <f>SUMIFS('Sch.15,51,53,54'!$G:$G,'Sch.15,51,53,54'!$A:$A,F$75&amp;F$31,'Sch.15,51,53,54'!$B:$B,"$",'Sch.15,51,53,54'!$C:$C,$B69,'Sch.15,51,53,54'!$D:$D,$A69)/$Q$28</f>
        <v>107.67492750922015</v>
      </c>
      <c r="G69" s="141">
        <f ca="1">SUMIFS('Sch.15,51,53,54'!$G:$G,'Sch.15,51,53,54'!$A:$A,G$75&amp;G$31,'Sch.15,51,53,54'!$B:$B,"$",'Sch.15,51,53,54'!$C:$C,$B69,'Sch.15,51,53,54'!$D:$D,$A69)/$Q$28</f>
        <v>117.81199478189542</v>
      </c>
      <c r="H69" s="141">
        <f t="shared" ref="H69:H70" ca="1" si="51">G69-F69</f>
        <v>10.137067272675267</v>
      </c>
      <c r="I69" s="512">
        <f t="shared" ref="I69:I70" ca="1" si="52">IFERROR(H69/F69*100,0)</f>
        <v>9.4145104224075133</v>
      </c>
      <c r="J69" s="141">
        <f t="shared" ref="J69:J70" ca="1" si="53">G69</f>
        <v>117.81199478189542</v>
      </c>
      <c r="K69" s="141">
        <f ca="1">SUMIFS('Sch.15,51,53,54'!$G:$G,'Sch.15,51,53,54'!$A:$A,K$75&amp;K$31,'Sch.15,51,53,54'!$B:$B,"$",'Sch.15,51,53,54'!$C:$C,$B69,'Sch.15,51,53,54'!$D:$D,$A69)/$Q$28</f>
        <v>125.71045969852156</v>
      </c>
      <c r="L69" s="141">
        <f t="shared" ref="L69:L70" ca="1" si="54">K69-J69</f>
        <v>7.8984649166261391</v>
      </c>
      <c r="M69" s="477">
        <f t="shared" ref="M69:M70" ca="1" si="55">IFERROR(L69/J69*100,0)</f>
        <v>6.7042960534269156</v>
      </c>
      <c r="N69" s="291">
        <f t="shared" ref="N69:N70" ca="1" si="56">K69-F69</f>
        <v>18.035532189301406</v>
      </c>
      <c r="O69" s="477">
        <f t="shared" ca="1" si="21"/>
        <v>16.749983126533362</v>
      </c>
      <c r="P69" s="599"/>
    </row>
    <row r="70" spans="1:16" ht="15.75" customHeight="1">
      <c r="A70" s="474" t="s">
        <v>167</v>
      </c>
      <c r="B70" s="102" t="s">
        <v>558</v>
      </c>
      <c r="C70" s="302" t="s">
        <v>352</v>
      </c>
      <c r="D70" s="299" cm="1">
        <f t="array" ref="D70">IF(OR(B70={"Schedule 15","Schedule 51","Schedule 53"}),SUMIFS(RVN!H:H,RVN!A:A,A70,RVN!J:J,B70)/12,SUMIFS('Normalized Units'!I:I,'Normalized Units'!H:H,"Bill",'Normalized Units'!C:C,B70,'Normalized Units'!D:D,A70)/12+SUM(SUMIFS('Normalized Units'!I:I,'Normalized Units'!H:H,{"Annual Bill","Load Size","Load Size Minimum"},'Normalized Units'!C:C,B70,'Normalized Units'!D:D,A70)))</f>
        <v>0</v>
      </c>
      <c r="E70" s="291">
        <f>SUMIFS('Normalized Units'!I:I,'Normalized Units'!B:B,"Normalized Billing Units",'Normalized Units'!C:C,B70,'Normalized Units'!D:D,A70,'Normalized Units'!H:H,"kWh*")/$Q$28</f>
        <v>0</v>
      </c>
      <c r="F70" s="142">
        <f>SUMIFS(RVN!$F:$F,RVN!$A:$A,$A70,RVN!$J:$J,$C70)/$Q$28</f>
        <v>9.0840000000000004E-2</v>
      </c>
      <c r="G70" s="142">
        <f>SUMIFS(RVN!$F:$F,RVN!$A:$A,$A70,RVN!$J:$J,$C70)/$Q$28</f>
        <v>9.0840000000000004E-2</v>
      </c>
      <c r="H70" s="141">
        <f t="shared" si="51"/>
        <v>0</v>
      </c>
      <c r="I70" s="512">
        <f t="shared" si="52"/>
        <v>0</v>
      </c>
      <c r="J70" s="141">
        <f t="shared" si="53"/>
        <v>9.0840000000000004E-2</v>
      </c>
      <c r="K70" s="142">
        <f>SUMIFS(RVN!$F:$F,RVN!$A:$A,$A70,RVN!$J:$J,$C70)/$Q$28</f>
        <v>9.0840000000000004E-2</v>
      </c>
      <c r="L70" s="141">
        <f t="shared" si="54"/>
        <v>0</v>
      </c>
      <c r="M70" s="477">
        <f t="shared" si="55"/>
        <v>0</v>
      </c>
      <c r="N70" s="291">
        <f t="shared" si="56"/>
        <v>0</v>
      </c>
      <c r="O70" s="477">
        <f t="shared" si="21"/>
        <v>0</v>
      </c>
      <c r="P70" s="599"/>
    </row>
    <row r="71" spans="1:16" ht="15.75" customHeight="1">
      <c r="A71" s="479" t="s">
        <v>167</v>
      </c>
      <c r="B71" s="424" t="s">
        <v>195</v>
      </c>
      <c r="C71" s="424" t="s">
        <v>195</v>
      </c>
      <c r="D71" s="489">
        <f>SUM(D68:D70)</f>
        <v>458.5</v>
      </c>
      <c r="E71" s="489">
        <f t="shared" ref="E71:J71" si="57">SUM(E68:E70)</f>
        <v>3781.6902818073468</v>
      </c>
      <c r="F71" s="489">
        <f t="shared" si="57"/>
        <v>572.03672884004072</v>
      </c>
      <c r="G71" s="489">
        <f t="shared" ca="1" si="57"/>
        <v>625.66785165722399</v>
      </c>
      <c r="H71" s="489">
        <f t="shared" ca="1" si="57"/>
        <v>53.631122817183211</v>
      </c>
      <c r="I71" s="514">
        <f ca="1">IFERROR(H71/F71*100,0)</f>
        <v>9.3754684119557901</v>
      </c>
      <c r="J71" s="489">
        <f t="shared" ca="1" si="57"/>
        <v>625.66785165722399</v>
      </c>
      <c r="K71" s="489">
        <f ca="1">SUM(K68:K70)</f>
        <v>667.65655388560629</v>
      </c>
      <c r="L71" s="489">
        <f ca="1">SUM(L68:L70)</f>
        <v>41.98870222838228</v>
      </c>
      <c r="M71" s="480">
        <f ca="1">IFERROR(L71/J71*100,0)</f>
        <v>6.7110212099224258</v>
      </c>
      <c r="N71" s="489">
        <f ca="1">SUM(N68:N70)</f>
        <v>95.619825045565491</v>
      </c>
      <c r="O71" s="492">
        <f ca="1">IFERROR(N71/F71*100,0)</f>
        <v>16.715679295534148</v>
      </c>
      <c r="P71" s="599"/>
    </row>
    <row r="72" spans="1:16" ht="15.75" customHeight="1">
      <c r="A72" s="479"/>
      <c r="B72" s="424"/>
      <c r="C72" s="424"/>
      <c r="D72" s="489"/>
      <c r="E72" s="213"/>
      <c r="F72" s="340"/>
      <c r="G72" s="340"/>
      <c r="H72" s="340"/>
      <c r="I72" s="514"/>
      <c r="J72" s="340"/>
      <c r="K72" s="340"/>
      <c r="L72" s="340"/>
      <c r="M72" s="480"/>
      <c r="N72" s="213"/>
      <c r="O72" s="480">
        <f t="shared" si="21"/>
        <v>0</v>
      </c>
      <c r="P72" s="599"/>
    </row>
    <row r="73" spans="1:16" ht="15.75" customHeight="1">
      <c r="A73" s="479" t="s">
        <v>195</v>
      </c>
      <c r="B73" s="424" t="s">
        <v>195</v>
      </c>
      <c r="C73" s="424" t="s">
        <v>195</v>
      </c>
      <c r="D73" s="489">
        <f>D40+D50+D60+D66+D71</f>
        <v>140527.93088372098</v>
      </c>
      <c r="E73" s="489">
        <f>E40+E50+E60+E66+E71</f>
        <v>4194177.378937826</v>
      </c>
      <c r="F73" s="434">
        <f>F40+F50+F60+F66+F71</f>
        <v>405024.31590073655</v>
      </c>
      <c r="G73" s="434">
        <f ca="1">G40+G50+G60+G66+G71</f>
        <v>431787.33035114367</v>
      </c>
      <c r="H73" s="434">
        <f ca="1">H40+H50+H60+H66+H71</f>
        <v>26763.014450407143</v>
      </c>
      <c r="I73" s="514">
        <f t="shared" ref="I73" ca="1" si="58">IFERROR(H73/F73*100,0)</f>
        <v>6.6077549914228424</v>
      </c>
      <c r="J73" s="434">
        <f ca="1">J40+J50+J60+J66+J71</f>
        <v>431787.33035114367</v>
      </c>
      <c r="K73" s="434">
        <f ca="1">K40+K50+K60+K66+K71</f>
        <v>459734.87371228758</v>
      </c>
      <c r="L73" s="434">
        <f ca="1">L40+L50+L60+L66+L71</f>
        <v>27947.543361143904</v>
      </c>
      <c r="M73" s="480">
        <f t="shared" ref="M73" ca="1" si="59">IFERROR(L73/J73*100,0)</f>
        <v>6.4725251059163877</v>
      </c>
      <c r="N73" s="489">
        <f ca="1">N40+N50+N60+N66+N71</f>
        <v>54710.557811551051</v>
      </c>
      <c r="O73" s="492">
        <f t="shared" ca="1" si="21"/>
        <v>13.507968698096517</v>
      </c>
      <c r="P73" s="599"/>
    </row>
    <row r="74" spans="1:16" ht="15.75" customHeight="1">
      <c r="C74" s="459"/>
      <c r="E74" s="478"/>
      <c r="H74" s="140"/>
      <c r="I74" s="140"/>
      <c r="L74" s="140"/>
      <c r="M74" s="281"/>
      <c r="N74" s="281"/>
    </row>
    <row r="75" spans="1:16" ht="15.75" customHeight="1">
      <c r="G75" s="518" t="s">
        <v>568</v>
      </c>
      <c r="H75" s="112"/>
      <c r="I75" s="112"/>
      <c r="J75" s="518"/>
      <c r="K75" s="518" t="s">
        <v>569</v>
      </c>
      <c r="M75" s="281"/>
      <c r="N75" s="281"/>
    </row>
  </sheetData>
  <printOptions horizontalCentered="1"/>
  <pageMargins left="0.2" right="0.2" top="0.2" bottom="0.2" header="0" footer="0"/>
  <pageSetup scale="65" fitToHeight="0" orientation="landscape" r:id="rId1"/>
  <ignoredErrors>
    <ignoredError sqref="I8:I12 M8:M12 I41:J49 L41:M49 I13:I25 M13:M25 I57:J59 L57:M59 I61:J65 I60 L61:M65 M60 I40 M40 I51:J56 I50 L51:M56 M50 I67:J70 I66 L67:M70 I72:J73 I71 L72:M73 E45:E55 M66 M71" formula="1"/>
    <ignoredError sqref="T9:T11 T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5948-C27D-4C38-954E-FA96222BECD8}">
  <dimension ref="B2:R48"/>
  <sheetViews>
    <sheetView showGridLines="0" zoomScaleNormal="100" workbookViewId="0"/>
  </sheetViews>
  <sheetFormatPr defaultRowHeight="15.75"/>
  <cols>
    <col min="1" max="1" width="0.875" customWidth="1"/>
    <col min="2" max="2" width="33" style="209" bestFit="1" customWidth="1"/>
    <col min="3" max="3" width="9.5" style="209" customWidth="1"/>
    <col min="4" max="12" width="9.5" customWidth="1"/>
    <col min="13" max="13" width="9.5" style="660" customWidth="1"/>
    <col min="14" max="16" width="9.5" customWidth="1"/>
    <col min="17" max="25" width="10.625" customWidth="1"/>
  </cols>
  <sheetData>
    <row r="2" spans="2:18" ht="15.75" customHeight="1">
      <c r="B2" s="661" t="s">
        <v>630</v>
      </c>
      <c r="C2" s="466"/>
      <c r="D2" s="207"/>
      <c r="E2" s="207"/>
      <c r="F2" s="341"/>
      <c r="G2" s="341"/>
      <c r="H2" s="341"/>
      <c r="I2" s="341"/>
      <c r="J2" s="341"/>
      <c r="K2" s="341"/>
      <c r="L2" s="341"/>
      <c r="M2" s="207"/>
      <c r="N2" s="207"/>
      <c r="O2" s="207"/>
      <c r="P2" s="208"/>
    </row>
    <row r="3" spans="2:18" ht="15.75" customHeight="1">
      <c r="B3" s="304"/>
      <c r="C3" s="346" t="s">
        <v>501</v>
      </c>
      <c r="D3" s="207"/>
      <c r="E3" s="207"/>
      <c r="F3" s="386"/>
      <c r="G3" s="341"/>
      <c r="H3" s="223"/>
      <c r="I3" s="346" t="s">
        <v>503</v>
      </c>
      <c r="J3" s="207"/>
      <c r="K3" s="207"/>
      <c r="L3" s="386"/>
      <c r="M3" s="341"/>
      <c r="N3" s="223"/>
      <c r="O3" s="681"/>
      <c r="P3" s="680"/>
    </row>
    <row r="4" spans="2:18" ht="15.75" customHeight="1">
      <c r="B4" s="304"/>
      <c r="C4" s="662"/>
      <c r="D4" s="663"/>
      <c r="E4" s="667" t="s">
        <v>360</v>
      </c>
      <c r="F4" s="386"/>
      <c r="G4" s="341"/>
      <c r="H4" s="223"/>
      <c r="I4" s="662"/>
      <c r="J4" s="663"/>
      <c r="K4" s="667" t="s">
        <v>360</v>
      </c>
      <c r="L4" s="386"/>
      <c r="M4" s="341"/>
      <c r="N4" s="223"/>
      <c r="O4" s="679" t="s">
        <v>639</v>
      </c>
      <c r="P4" s="664"/>
    </row>
    <row r="5" spans="2:18" ht="15.75" customHeight="1">
      <c r="B5" s="304"/>
      <c r="C5" s="470" t="s">
        <v>628</v>
      </c>
      <c r="D5" s="664"/>
      <c r="E5" s="668"/>
      <c r="F5" s="665"/>
      <c r="G5" s="666"/>
      <c r="H5" s="217" t="s">
        <v>494</v>
      </c>
      <c r="I5" s="470" t="s">
        <v>628</v>
      </c>
      <c r="J5" s="664"/>
      <c r="K5" s="668"/>
      <c r="L5" s="665"/>
      <c r="M5" s="666"/>
      <c r="N5" s="217" t="s">
        <v>494</v>
      </c>
      <c r="O5" s="666"/>
      <c r="P5" s="217" t="s">
        <v>494</v>
      </c>
    </row>
    <row r="6" spans="2:18" ht="15.75" customHeight="1">
      <c r="B6" s="474" t="s">
        <v>401</v>
      </c>
      <c r="C6" s="218" t="s">
        <v>406</v>
      </c>
      <c r="D6" s="307" t="s">
        <v>412</v>
      </c>
      <c r="E6" s="218" t="s">
        <v>406</v>
      </c>
      <c r="F6" s="218" t="s">
        <v>412</v>
      </c>
      <c r="G6" s="218" t="s">
        <v>414</v>
      </c>
      <c r="H6" s="218" t="s">
        <v>414</v>
      </c>
      <c r="I6" s="218" t="s">
        <v>406</v>
      </c>
      <c r="J6" s="218" t="s">
        <v>412</v>
      </c>
      <c r="K6" s="218" t="s">
        <v>406</v>
      </c>
      <c r="L6" s="218" t="s">
        <v>412</v>
      </c>
      <c r="M6" s="218" t="s">
        <v>414</v>
      </c>
      <c r="N6" s="218" t="s">
        <v>414</v>
      </c>
      <c r="O6" s="218" t="s">
        <v>414</v>
      </c>
      <c r="P6" s="218" t="s">
        <v>414</v>
      </c>
    </row>
    <row r="7" spans="2:18" ht="15.75" customHeight="1">
      <c r="B7" s="485" t="s">
        <v>627</v>
      </c>
      <c r="C7" s="685">
        <f>'Sch.16,17,19'!Q19</f>
        <v>7.75</v>
      </c>
      <c r="D7" s="685">
        <f>'Sch.16,17,19'!Q35</f>
        <v>10</v>
      </c>
      <c r="E7" s="612">
        <f>C7</f>
        <v>7.75</v>
      </c>
      <c r="F7" s="612">
        <f>D7</f>
        <v>10</v>
      </c>
      <c r="G7" s="612">
        <f>F7-E7</f>
        <v>2.25</v>
      </c>
      <c r="H7" s="517">
        <f>IFERROR(G7/E7*100,0)</f>
        <v>29.032258064516132</v>
      </c>
      <c r="I7" s="549">
        <f>D7</f>
        <v>10</v>
      </c>
      <c r="J7" s="549">
        <f>'Sch.16,17,19'!Q59</f>
        <v>10</v>
      </c>
      <c r="K7" s="612">
        <f>I7</f>
        <v>10</v>
      </c>
      <c r="L7" s="612">
        <f>J7</f>
        <v>10</v>
      </c>
      <c r="M7" s="612">
        <f>L7-K7</f>
        <v>0</v>
      </c>
      <c r="N7" s="517">
        <f>IFERROR(M7/K7*100,0)</f>
        <v>0</v>
      </c>
      <c r="O7" s="692">
        <f>L7-E7</f>
        <v>2.25</v>
      </c>
      <c r="P7" s="484">
        <f>IFERROR(O7/E7*100,0)</f>
        <v>29.032258064516132</v>
      </c>
    </row>
    <row r="8" spans="2:18" ht="15.75" customHeight="1">
      <c r="B8" s="417" t="s">
        <v>396</v>
      </c>
      <c r="C8" s="686">
        <f>'Sch.16,17,19'!Q23</f>
        <v>8.276E-2</v>
      </c>
      <c r="D8" s="686">
        <f ca="1">'Sch.16,17,19'!Q40</f>
        <v>0.10617</v>
      </c>
      <c r="E8" s="614">
        <f>C8*600*$D30</f>
        <v>14.409718746203444</v>
      </c>
      <c r="F8" s="614">
        <f ca="1">D8*600*$D30</f>
        <v>18.485739962354032</v>
      </c>
      <c r="G8" s="614">
        <f t="shared" ref="G8:G19" ca="1" si="0">F8-E8</f>
        <v>4.076021216150588</v>
      </c>
      <c r="H8" s="512">
        <f t="shared" ref="H8:H20" ca="1" si="1">IFERROR(G8/E8*100,0)</f>
        <v>28.28661188980184</v>
      </c>
      <c r="I8" s="351">
        <f ca="1">D8</f>
        <v>0.10617</v>
      </c>
      <c r="J8" s="351">
        <f ca="1">'Sch.16,17,19'!Q64</f>
        <v>0.12878999999999999</v>
      </c>
      <c r="K8" s="614">
        <f ca="1">I8*600*$D30</f>
        <v>18.485739962354032</v>
      </c>
      <c r="L8" s="614">
        <f ca="1">J8*600*$D30</f>
        <v>22.424210697481165</v>
      </c>
      <c r="M8" s="614">
        <f t="shared" ref="M8:M19" ca="1" si="2">L8-K8</f>
        <v>3.9384707351271331</v>
      </c>
      <c r="N8" s="512">
        <f t="shared" ref="N8:N19" ca="1" si="3">IFERROR(M8/K8*100,0)</f>
        <v>21.305453517942897</v>
      </c>
      <c r="O8" s="693">
        <f t="shared" ref="O8:O19" ca="1" si="4">L8-E8</f>
        <v>8.0144919512777211</v>
      </c>
      <c r="P8" s="477">
        <f t="shared" ref="P8:P19" ca="1" si="5">IFERROR(O8/E8*100,0)</f>
        <v>55.618656355727381</v>
      </c>
    </row>
    <row r="9" spans="2:18" ht="15.75" customHeight="1">
      <c r="B9" s="417" t="s">
        <v>394</v>
      </c>
      <c r="C9" s="686">
        <f>'Sch.16,17,19'!Q23</f>
        <v>8.276E-2</v>
      </c>
      <c r="D9" s="686">
        <f ca="1">'Sch.16,17,19'!Q41</f>
        <v>9.6560000000000007E-2</v>
      </c>
      <c r="E9" s="614">
        <f>C9*600*$D31</f>
        <v>35.246281253796553</v>
      </c>
      <c r="F9" s="614">
        <f ca="1">D9*600*$D31</f>
        <v>41.123500699209707</v>
      </c>
      <c r="G9" s="614">
        <f t="shared" ref="G9:G11" ca="1" si="6">F9-E9</f>
        <v>5.8772194454131537</v>
      </c>
      <c r="H9" s="512">
        <f t="shared" ref="H9:H11" ca="1" si="7">IFERROR(G9/E9*100,0)</f>
        <v>16.674722087965208</v>
      </c>
      <c r="I9" s="351">
        <f t="shared" ref="I9:I11" ca="1" si="8">D9</f>
        <v>9.6560000000000007E-2</v>
      </c>
      <c r="J9" s="351">
        <f ca="1">'Sch.16,17,19'!Q65</f>
        <v>0.10958</v>
      </c>
      <c r="K9" s="614">
        <f ca="1">I9*600*$D31</f>
        <v>41.123500699209707</v>
      </c>
      <c r="L9" s="614">
        <f ca="1">J9*600*$D31</f>
        <v>46.668529480316899</v>
      </c>
      <c r="M9" s="614">
        <f t="shared" ref="M9:M11" ca="1" si="9">L9-K9</f>
        <v>5.5450287811071917</v>
      </c>
      <c r="N9" s="512">
        <f t="shared" ref="N9:N11" ca="1" si="10">IFERROR(M9/K9*100,0)</f>
        <v>13.483844241922121</v>
      </c>
      <c r="O9" s="693">
        <f t="shared" ref="O9:O11" ca="1" si="11">L9-E9</f>
        <v>11.422248226520345</v>
      </c>
      <c r="P9" s="477">
        <f t="shared" ref="P9:P11" ca="1" si="12">IFERROR(O9/E9*100,0)</f>
        <v>32.406959884001942</v>
      </c>
    </row>
    <row r="10" spans="2:18" ht="15.75" customHeight="1">
      <c r="B10" s="417" t="s">
        <v>397</v>
      </c>
      <c r="C10" s="686">
        <f>'Sch.16,17,19'!Q24</f>
        <v>0.11198</v>
      </c>
      <c r="D10" s="686">
        <f ca="1">'Sch.16,17,19'!Q42</f>
        <v>0.12078</v>
      </c>
      <c r="E10" s="614">
        <f>C10*600*$D30</f>
        <v>19.497345398741686</v>
      </c>
      <c r="F10" s="614">
        <f ca="1">D10*600*$D30</f>
        <v>21.029553288623152</v>
      </c>
      <c r="G10" s="614">
        <f t="shared" ca="1" si="6"/>
        <v>1.5322078898814659</v>
      </c>
      <c r="H10" s="512">
        <f t="shared" ca="1" si="7"/>
        <v>7.8585461689587301</v>
      </c>
      <c r="I10" s="351">
        <f t="shared" ca="1" si="8"/>
        <v>0.12078</v>
      </c>
      <c r="J10" s="351">
        <f ca="1">'Sch.16,17,19'!Q66</f>
        <v>0.12878999999999999</v>
      </c>
      <c r="K10" s="614">
        <f ca="1">I10*600*$D30</f>
        <v>21.029553288623152</v>
      </c>
      <c r="L10" s="614">
        <f ca="1">J10*600*$D30</f>
        <v>22.424210697481165</v>
      </c>
      <c r="M10" s="614">
        <f t="shared" ca="1" si="9"/>
        <v>1.3946574088580128</v>
      </c>
      <c r="N10" s="512">
        <f t="shared" ca="1" si="10"/>
        <v>6.6318926974664416</v>
      </c>
      <c r="O10" s="693">
        <f t="shared" ca="1" si="11"/>
        <v>2.9268652987394788</v>
      </c>
      <c r="P10" s="477">
        <f t="shared" ca="1" si="12"/>
        <v>15.011609215931374</v>
      </c>
    </row>
    <row r="11" spans="2:18" ht="15.75" customHeight="1">
      <c r="B11" s="417" t="s">
        <v>395</v>
      </c>
      <c r="C11" s="686">
        <f>'Sch.16,17,19'!Q24</f>
        <v>0.11198</v>
      </c>
      <c r="D11" s="687">
        <f ca="1">'Sch.16,17,19'!Q43</f>
        <v>0.11117</v>
      </c>
      <c r="E11" s="614">
        <f>C11*600*$D31</f>
        <v>47.690654601258316</v>
      </c>
      <c r="F11" s="614">
        <f ca="1">D11*600*$D31</f>
        <v>47.345687372940581</v>
      </c>
      <c r="G11" s="614">
        <f t="shared" ca="1" si="6"/>
        <v>-0.34496722831773496</v>
      </c>
      <c r="H11" s="512">
        <f t="shared" ca="1" si="7"/>
        <v>-0.72334345418826151</v>
      </c>
      <c r="I11" s="351">
        <f t="shared" ca="1" si="8"/>
        <v>0.11117</v>
      </c>
      <c r="J11" s="351">
        <f ca="1">'Sch.16,17,19'!Q67</f>
        <v>0.10958</v>
      </c>
      <c r="K11" s="614">
        <f ca="1">I11*600*$D31</f>
        <v>47.345687372940581</v>
      </c>
      <c r="L11" s="614">
        <f ca="1">J11*600*$D31</f>
        <v>46.668529480316899</v>
      </c>
      <c r="M11" s="614">
        <f t="shared" ca="1" si="9"/>
        <v>-0.67715789262368276</v>
      </c>
      <c r="N11" s="512">
        <f t="shared" ca="1" si="10"/>
        <v>-1.4302419717549564</v>
      </c>
      <c r="O11" s="693">
        <f t="shared" ca="1" si="11"/>
        <v>-1.0221251209414177</v>
      </c>
      <c r="P11" s="477">
        <f t="shared" ca="1" si="12"/>
        <v>-2.1432398642614752</v>
      </c>
    </row>
    <row r="12" spans="2:18" ht="15.75" customHeight="1">
      <c r="B12" s="485" t="s">
        <v>631</v>
      </c>
      <c r="C12" s="688">
        <v>2</v>
      </c>
      <c r="D12" s="688">
        <f>C12</f>
        <v>2</v>
      </c>
      <c r="E12" s="612">
        <f>C12</f>
        <v>2</v>
      </c>
      <c r="F12" s="612">
        <f>D12</f>
        <v>2</v>
      </c>
      <c r="G12" s="612">
        <f t="shared" si="0"/>
        <v>0</v>
      </c>
      <c r="H12" s="517">
        <f t="shared" si="1"/>
        <v>0</v>
      </c>
      <c r="I12" s="549">
        <f>D12</f>
        <v>2</v>
      </c>
      <c r="J12" s="549">
        <f>I12</f>
        <v>2</v>
      </c>
      <c r="K12" s="612">
        <f>I12</f>
        <v>2</v>
      </c>
      <c r="L12" s="612">
        <f>J12</f>
        <v>2</v>
      </c>
      <c r="M12" s="612">
        <f t="shared" si="2"/>
        <v>0</v>
      </c>
      <c r="N12" s="517">
        <f t="shared" si="3"/>
        <v>0</v>
      </c>
      <c r="O12" s="692">
        <f t="shared" si="4"/>
        <v>0</v>
      </c>
      <c r="P12" s="484">
        <f t="shared" si="5"/>
        <v>0</v>
      </c>
    </row>
    <row r="13" spans="2:18" ht="15.75" customHeight="1">
      <c r="B13" s="475" t="s">
        <v>632</v>
      </c>
      <c r="C13" s="689">
        <v>0</v>
      </c>
      <c r="D13" s="689">
        <f t="shared" ref="D13:D19" si="13">C13</f>
        <v>0</v>
      </c>
      <c r="E13" s="614">
        <f>C13*1200</f>
        <v>0</v>
      </c>
      <c r="F13" s="614">
        <f>D13*1200</f>
        <v>0</v>
      </c>
      <c r="G13" s="614">
        <f t="shared" si="0"/>
        <v>0</v>
      </c>
      <c r="H13" s="512">
        <f t="shared" si="1"/>
        <v>0</v>
      </c>
      <c r="I13" s="351">
        <f>D13</f>
        <v>0</v>
      </c>
      <c r="J13" s="351">
        <f t="shared" ref="J13:J19" si="14">I13</f>
        <v>0</v>
      </c>
      <c r="K13" s="614">
        <f>I13*1200</f>
        <v>0</v>
      </c>
      <c r="L13" s="614">
        <f>J13*1200</f>
        <v>0</v>
      </c>
      <c r="M13" s="614">
        <f t="shared" si="2"/>
        <v>0</v>
      </c>
      <c r="N13" s="512">
        <f t="shared" si="3"/>
        <v>0</v>
      </c>
      <c r="O13" s="693">
        <f t="shared" si="4"/>
        <v>0</v>
      </c>
      <c r="P13" s="477">
        <f t="shared" si="5"/>
        <v>0</v>
      </c>
    </row>
    <row r="14" spans="2:18" ht="15.75" customHeight="1">
      <c r="B14" s="475" t="s">
        <v>638</v>
      </c>
      <c r="C14" s="689">
        <v>3.62E-3</v>
      </c>
      <c r="D14" s="689">
        <f t="shared" si="13"/>
        <v>3.62E-3</v>
      </c>
      <c r="E14" s="614">
        <f t="shared" ref="E14:E19" si="15">C14*1200</f>
        <v>4.3440000000000003</v>
      </c>
      <c r="F14" s="614">
        <f t="shared" ref="F14:F19" si="16">D14*1200</f>
        <v>4.3440000000000003</v>
      </c>
      <c r="G14" s="614">
        <f t="shared" si="0"/>
        <v>0</v>
      </c>
      <c r="H14" s="512">
        <f t="shared" si="1"/>
        <v>0</v>
      </c>
      <c r="I14" s="351">
        <f>D14</f>
        <v>3.62E-3</v>
      </c>
      <c r="J14" s="351">
        <f t="shared" si="14"/>
        <v>3.62E-3</v>
      </c>
      <c r="K14" s="614">
        <f t="shared" ref="K14:K19" si="17">I14*1200</f>
        <v>4.3440000000000003</v>
      </c>
      <c r="L14" s="614">
        <f t="shared" ref="L14:L19" si="18">J14*1200</f>
        <v>4.3440000000000003</v>
      </c>
      <c r="M14" s="614">
        <f t="shared" si="2"/>
        <v>0</v>
      </c>
      <c r="N14" s="512">
        <f t="shared" si="3"/>
        <v>0</v>
      </c>
      <c r="O14" s="693">
        <f t="shared" si="4"/>
        <v>0</v>
      </c>
      <c r="P14" s="477">
        <f t="shared" si="5"/>
        <v>0</v>
      </c>
    </row>
    <row r="15" spans="2:18" ht="15.75" customHeight="1">
      <c r="B15" s="475" t="s">
        <v>637</v>
      </c>
      <c r="C15" s="689">
        <v>3.1900000000000001E-3</v>
      </c>
      <c r="D15" s="689">
        <f t="shared" si="13"/>
        <v>3.1900000000000001E-3</v>
      </c>
      <c r="E15" s="614">
        <f t="shared" si="15"/>
        <v>3.8280000000000003</v>
      </c>
      <c r="F15" s="614">
        <f t="shared" si="16"/>
        <v>3.8280000000000003</v>
      </c>
      <c r="G15" s="614">
        <f t="shared" si="0"/>
        <v>0</v>
      </c>
      <c r="H15" s="512">
        <f t="shared" si="1"/>
        <v>0</v>
      </c>
      <c r="I15" s="351">
        <f>D15</f>
        <v>3.1900000000000001E-3</v>
      </c>
      <c r="J15" s="351">
        <f t="shared" si="14"/>
        <v>3.1900000000000001E-3</v>
      </c>
      <c r="K15" s="614">
        <f t="shared" si="17"/>
        <v>3.8280000000000003</v>
      </c>
      <c r="L15" s="614">
        <f t="shared" si="18"/>
        <v>3.8280000000000003</v>
      </c>
      <c r="M15" s="614">
        <f t="shared" si="2"/>
        <v>0</v>
      </c>
      <c r="N15" s="512">
        <f t="shared" si="3"/>
        <v>0</v>
      </c>
      <c r="O15" s="693">
        <f t="shared" si="4"/>
        <v>0</v>
      </c>
      <c r="P15" s="477">
        <f t="shared" si="5"/>
        <v>0</v>
      </c>
      <c r="R15" s="668"/>
    </row>
    <row r="16" spans="2:18" ht="15.75" customHeight="1">
      <c r="B16" s="475" t="s">
        <v>636</v>
      </c>
      <c r="C16" s="689">
        <v>-1.0290000000000001E-2</v>
      </c>
      <c r="D16" s="689">
        <f t="shared" si="13"/>
        <v>-1.0290000000000001E-2</v>
      </c>
      <c r="E16" s="614">
        <f t="shared" si="15"/>
        <v>-12.348000000000001</v>
      </c>
      <c r="F16" s="614">
        <f t="shared" si="16"/>
        <v>-12.348000000000001</v>
      </c>
      <c r="G16" s="614">
        <f t="shared" si="0"/>
        <v>0</v>
      </c>
      <c r="H16" s="512">
        <f t="shared" si="1"/>
        <v>0</v>
      </c>
      <c r="I16" s="351">
        <f>D16</f>
        <v>-1.0290000000000001E-2</v>
      </c>
      <c r="J16" s="351">
        <f t="shared" si="14"/>
        <v>-1.0290000000000001E-2</v>
      </c>
      <c r="K16" s="614">
        <f t="shared" si="17"/>
        <v>-12.348000000000001</v>
      </c>
      <c r="L16" s="614">
        <f t="shared" si="18"/>
        <v>-12.348000000000001</v>
      </c>
      <c r="M16" s="614">
        <f t="shared" si="2"/>
        <v>0</v>
      </c>
      <c r="N16" s="512">
        <f t="shared" si="3"/>
        <v>0</v>
      </c>
      <c r="O16" s="693">
        <f t="shared" si="4"/>
        <v>0</v>
      </c>
      <c r="P16" s="477">
        <f t="shared" si="5"/>
        <v>0</v>
      </c>
    </row>
    <row r="17" spans="2:16" ht="15.75" customHeight="1">
      <c r="B17" s="475" t="s">
        <v>635</v>
      </c>
      <c r="C17" s="689">
        <v>8.4000000000000003E-4</v>
      </c>
      <c r="D17" s="689">
        <f t="shared" si="13"/>
        <v>8.4000000000000003E-4</v>
      </c>
      <c r="E17" s="614">
        <f t="shared" si="15"/>
        <v>1.008</v>
      </c>
      <c r="F17" s="614">
        <f t="shared" si="16"/>
        <v>1.008</v>
      </c>
      <c r="G17" s="614">
        <f t="shared" si="0"/>
        <v>0</v>
      </c>
      <c r="H17" s="512">
        <f t="shared" si="1"/>
        <v>0</v>
      </c>
      <c r="I17" s="351">
        <f>D17</f>
        <v>8.4000000000000003E-4</v>
      </c>
      <c r="J17" s="351">
        <f t="shared" si="14"/>
        <v>8.4000000000000003E-4</v>
      </c>
      <c r="K17" s="614">
        <f t="shared" si="17"/>
        <v>1.008</v>
      </c>
      <c r="L17" s="614">
        <f t="shared" si="18"/>
        <v>1.008</v>
      </c>
      <c r="M17" s="614">
        <f t="shared" si="2"/>
        <v>0</v>
      </c>
      <c r="N17" s="512">
        <f t="shared" si="3"/>
        <v>0</v>
      </c>
      <c r="O17" s="693">
        <f t="shared" si="4"/>
        <v>0</v>
      </c>
      <c r="P17" s="477">
        <f t="shared" si="5"/>
        <v>0</v>
      </c>
    </row>
    <row r="18" spans="2:16" ht="15.75" customHeight="1">
      <c r="B18" s="475" t="s">
        <v>634</v>
      </c>
      <c r="C18" s="689">
        <v>5.1399999999999996E-3</v>
      </c>
      <c r="D18" s="689">
        <f t="shared" si="13"/>
        <v>5.1399999999999996E-3</v>
      </c>
      <c r="E18" s="614">
        <f t="shared" si="15"/>
        <v>6.1679999999999993</v>
      </c>
      <c r="F18" s="614">
        <f t="shared" si="16"/>
        <v>6.1679999999999993</v>
      </c>
      <c r="G18" s="614">
        <f t="shared" si="0"/>
        <v>0</v>
      </c>
      <c r="H18" s="512">
        <f t="shared" si="1"/>
        <v>0</v>
      </c>
      <c r="I18" s="351">
        <f>D18</f>
        <v>5.1399999999999996E-3</v>
      </c>
      <c r="J18" s="351">
        <f t="shared" si="14"/>
        <v>5.1399999999999996E-3</v>
      </c>
      <c r="K18" s="614">
        <f t="shared" si="17"/>
        <v>6.1679999999999993</v>
      </c>
      <c r="L18" s="614">
        <f t="shared" si="18"/>
        <v>6.1679999999999993</v>
      </c>
      <c r="M18" s="614">
        <f t="shared" si="2"/>
        <v>0</v>
      </c>
      <c r="N18" s="512">
        <f t="shared" si="3"/>
        <v>0</v>
      </c>
      <c r="O18" s="693">
        <f t="shared" si="4"/>
        <v>0</v>
      </c>
      <c r="P18" s="477">
        <f t="shared" si="5"/>
        <v>0</v>
      </c>
    </row>
    <row r="19" spans="2:16" ht="15.75" customHeight="1">
      <c r="B19" s="474" t="s">
        <v>633</v>
      </c>
      <c r="C19" s="690">
        <v>-3.5899999999999999E-3</v>
      </c>
      <c r="D19" s="690">
        <f t="shared" si="13"/>
        <v>-3.5899999999999999E-3</v>
      </c>
      <c r="E19" s="691">
        <f t="shared" si="15"/>
        <v>-4.3079999999999998</v>
      </c>
      <c r="F19" s="691">
        <f t="shared" si="16"/>
        <v>-4.3079999999999998</v>
      </c>
      <c r="G19" s="691">
        <f t="shared" si="0"/>
        <v>0</v>
      </c>
      <c r="H19" s="513">
        <f t="shared" si="1"/>
        <v>0</v>
      </c>
      <c r="I19" s="550">
        <f>D19</f>
        <v>-3.5899999999999999E-3</v>
      </c>
      <c r="J19" s="550">
        <f t="shared" si="14"/>
        <v>-3.5899999999999999E-3</v>
      </c>
      <c r="K19" s="691">
        <f t="shared" si="17"/>
        <v>-4.3079999999999998</v>
      </c>
      <c r="L19" s="691">
        <f t="shared" si="18"/>
        <v>-4.3079999999999998</v>
      </c>
      <c r="M19" s="691">
        <f t="shared" si="2"/>
        <v>0</v>
      </c>
      <c r="N19" s="513">
        <f t="shared" si="3"/>
        <v>0</v>
      </c>
      <c r="O19" s="694">
        <f t="shared" si="4"/>
        <v>0</v>
      </c>
      <c r="P19" s="695">
        <f t="shared" si="5"/>
        <v>0</v>
      </c>
    </row>
    <row r="20" spans="2:16" ht="15.75" customHeight="1">
      <c r="B20" s="475" t="s">
        <v>1</v>
      </c>
      <c r="C20" s="689"/>
      <c r="D20" s="689"/>
      <c r="E20" s="614">
        <f>SUM(E7:E19)</f>
        <v>125.28600000000003</v>
      </c>
      <c r="F20" s="614">
        <f t="shared" ref="F20:G20" ca="1" si="19">SUM(F7:F19)</f>
        <v>138.67648132312749</v>
      </c>
      <c r="G20" s="614">
        <f t="shared" ca="1" si="19"/>
        <v>13.390481323127473</v>
      </c>
      <c r="H20" s="512">
        <f t="shared" ca="1" si="1"/>
        <v>10.687931072208762</v>
      </c>
      <c r="I20" s="351"/>
      <c r="J20" s="351"/>
      <c r="K20" s="614">
        <f ca="1">SUM(K7:K19)</f>
        <v>138.67648132312749</v>
      </c>
      <c r="L20" s="614">
        <f ca="1">SUM(L7:L19)</f>
        <v>148.87748035559613</v>
      </c>
      <c r="M20" s="614">
        <f ca="1">SUM(M7:M19)</f>
        <v>10.200999032468655</v>
      </c>
      <c r="N20" s="512">
        <f ca="1">IFERROR(M20/K20*100,0)</f>
        <v>7.3559690404168068</v>
      </c>
      <c r="O20" s="693">
        <f ca="1">L20-E20</f>
        <v>23.591480355596104</v>
      </c>
      <c r="P20" s="477">
        <f ca="1">IFERROR(O20/E20*100,0)</f>
        <v>18.830101013358316</v>
      </c>
    </row>
    <row r="21" spans="2:16" ht="15.75" customHeight="1">
      <c r="B21" s="485"/>
      <c r="C21" s="675"/>
      <c r="D21" s="675"/>
      <c r="E21" s="677"/>
      <c r="F21" s="677"/>
      <c r="G21" s="677"/>
      <c r="H21" s="523"/>
      <c r="I21" s="678"/>
      <c r="J21" s="678"/>
      <c r="K21" s="677"/>
      <c r="L21" s="677"/>
      <c r="M21" s="677"/>
      <c r="N21" s="523"/>
      <c r="O21" s="677"/>
      <c r="P21" s="683"/>
    </row>
    <row r="22" spans="2:16" ht="15.75" customHeight="1">
      <c r="B22" s="475" t="s">
        <v>640</v>
      </c>
      <c r="C22" s="676"/>
      <c r="D22" s="676"/>
      <c r="E22" s="267"/>
      <c r="F22" s="267"/>
      <c r="G22" s="267"/>
      <c r="H22" s="524"/>
      <c r="I22" s="278"/>
      <c r="J22" s="278"/>
      <c r="K22" s="267"/>
      <c r="L22" s="267"/>
      <c r="M22" s="267"/>
      <c r="N22" s="524"/>
      <c r="O22" s="684"/>
      <c r="P22" s="682"/>
    </row>
    <row r="23" spans="2:16" ht="15.75" customHeight="1">
      <c r="B23" s="475"/>
      <c r="C23" s="676"/>
      <c r="D23" s="676"/>
      <c r="E23" s="267"/>
      <c r="F23" s="267"/>
      <c r="G23" s="267"/>
      <c r="H23" s="524"/>
      <c r="I23" s="278"/>
      <c r="J23" s="278"/>
      <c r="K23" s="267"/>
      <c r="L23" s="267"/>
      <c r="M23" s="267"/>
      <c r="N23" s="524"/>
      <c r="O23" s="684"/>
      <c r="P23" s="682"/>
    </row>
    <row r="24" spans="2:16" ht="15.75" customHeight="1">
      <c r="B24" s="618" t="s">
        <v>629</v>
      </c>
      <c r="C24" s="459"/>
      <c r="D24" s="668"/>
      <c r="E24" s="143"/>
      <c r="F24" s="143"/>
      <c r="G24" s="143"/>
      <c r="H24" s="143"/>
      <c r="I24" s="524"/>
      <c r="J24" s="143"/>
      <c r="K24" s="143"/>
      <c r="L24" s="143"/>
      <c r="M24" s="669"/>
      <c r="N24" s="668"/>
      <c r="O24" s="668"/>
      <c r="P24" s="670"/>
    </row>
    <row r="25" spans="2:16" ht="15.75" customHeight="1">
      <c r="B25" s="475" t="s">
        <v>643</v>
      </c>
      <c r="C25" s="459"/>
      <c r="D25" s="668"/>
      <c r="E25" s="143"/>
      <c r="F25" s="143"/>
      <c r="G25" s="143"/>
      <c r="H25" s="143"/>
      <c r="I25" s="524"/>
      <c r="J25" s="143"/>
      <c r="K25" s="143"/>
      <c r="L25" s="143"/>
      <c r="M25" s="669"/>
      <c r="N25" s="668"/>
      <c r="O25" s="668"/>
      <c r="P25" s="670"/>
    </row>
    <row r="26" spans="2:16" ht="15.75" customHeight="1">
      <c r="B26" s="475" t="s">
        <v>644</v>
      </c>
      <c r="C26" s="459"/>
      <c r="D26" s="668"/>
      <c r="E26" s="143"/>
      <c r="F26" s="143"/>
      <c r="G26" s="143"/>
      <c r="H26" s="143"/>
      <c r="I26" s="524"/>
      <c r="J26" s="143"/>
      <c r="K26" s="143"/>
      <c r="L26" s="143"/>
      <c r="M26" s="669"/>
      <c r="N26" s="668"/>
      <c r="O26" s="668"/>
      <c r="P26" s="670"/>
    </row>
    <row r="27" spans="2:16" ht="15.75" customHeight="1">
      <c r="B27" s="696" t="s">
        <v>645</v>
      </c>
      <c r="C27" s="459"/>
      <c r="D27" s="668"/>
      <c r="E27" s="143"/>
      <c r="F27" s="143"/>
      <c r="G27" s="143"/>
      <c r="H27" s="143"/>
      <c r="I27" s="524"/>
      <c r="J27" s="143"/>
      <c r="K27" s="143"/>
      <c r="L27" s="143"/>
      <c r="M27" s="669"/>
      <c r="N27" s="668"/>
      <c r="O27" s="668"/>
      <c r="P27" s="670"/>
    </row>
    <row r="28" spans="2:16" ht="15.75" customHeight="1">
      <c r="B28" s="697" t="s">
        <v>646</v>
      </c>
      <c r="C28" s="674"/>
      <c r="D28" s="671"/>
      <c r="E28" s="698"/>
      <c r="F28" s="354"/>
      <c r="G28" s="354"/>
      <c r="H28" s="354"/>
      <c r="I28" s="525"/>
      <c r="J28" s="354"/>
      <c r="K28" s="354"/>
      <c r="L28" s="354"/>
      <c r="M28" s="672"/>
      <c r="N28" s="671"/>
      <c r="O28" s="671"/>
      <c r="P28" s="673"/>
    </row>
    <row r="29" spans="2:16" ht="15.75" customHeight="1">
      <c r="D29" s="668"/>
      <c r="F29" s="668"/>
      <c r="G29" s="668"/>
      <c r="H29" s="668"/>
      <c r="I29" s="668"/>
      <c r="J29" s="668"/>
      <c r="K29" s="668"/>
      <c r="L29" s="668"/>
      <c r="M29" s="669"/>
    </row>
    <row r="30" spans="2:16" ht="15.75" customHeight="1">
      <c r="C30" s="485" t="s">
        <v>641</v>
      </c>
      <c r="D30" s="699">
        <f>('Sch.16,17,19'!Q14+'Sch.16,17,19'!Q16)/('Sch.16,17,19'!Q14+'Sch.16,17,19'!Q15+'Sch.16,17,19'!Q16+'Sch.16,17,19'!Q17)</f>
        <v>0.29019088823512657</v>
      </c>
      <c r="F30" s="668"/>
      <c r="G30" s="668"/>
      <c r="H30" s="668"/>
      <c r="I30" s="668"/>
      <c r="J30" s="668"/>
      <c r="K30" s="668"/>
      <c r="L30" s="668"/>
      <c r="M30" s="669"/>
    </row>
    <row r="31" spans="2:16" ht="15.75" customHeight="1">
      <c r="C31" s="474" t="s">
        <v>642</v>
      </c>
      <c r="D31" s="700">
        <f>('Sch.16,17,19'!Q15+'Sch.16,17,19'!Q17)/('Sch.16,17,19'!Q14+'Sch.16,17,19'!Q15+'Sch.16,17,19'!Q16+'Sch.16,17,19'!Q17)</f>
        <v>0.70980911176487338</v>
      </c>
      <c r="F31" s="668"/>
      <c r="G31" s="668"/>
      <c r="H31" s="668"/>
      <c r="I31" s="668"/>
      <c r="J31" s="668"/>
      <c r="K31" s="668"/>
      <c r="L31" s="668"/>
      <c r="M31" s="669"/>
    </row>
    <row r="32" spans="2:16" ht="15.75" customHeight="1">
      <c r="D32" s="668"/>
      <c r="F32" s="668"/>
      <c r="G32" s="668"/>
      <c r="H32" s="668"/>
      <c r="I32" s="668"/>
      <c r="J32" s="668"/>
      <c r="K32" s="668"/>
      <c r="L32" s="668"/>
      <c r="M32" s="669"/>
    </row>
    <row r="33" spans="2:13" ht="15.75" customHeight="1">
      <c r="B33" s="459"/>
      <c r="C33" s="459"/>
      <c r="D33" s="668"/>
      <c r="E33" s="668"/>
      <c r="F33" s="668"/>
      <c r="G33" s="668"/>
      <c r="H33" s="668"/>
      <c r="I33" s="668"/>
      <c r="J33" s="668"/>
      <c r="K33" s="668"/>
      <c r="L33" s="668"/>
      <c r="M33" s="669"/>
    </row>
    <row r="34" spans="2:13" ht="15.75" customHeight="1">
      <c r="B34" s="459"/>
      <c r="C34" s="459"/>
      <c r="D34" s="668"/>
      <c r="E34" s="668"/>
      <c r="F34" s="668"/>
      <c r="G34" s="668"/>
      <c r="H34" s="668"/>
      <c r="I34" s="668"/>
      <c r="J34" s="668"/>
      <c r="K34" s="668"/>
      <c r="L34" s="668"/>
      <c r="M34" s="669"/>
    </row>
    <row r="35" spans="2:13" ht="15.75" customHeight="1">
      <c r="B35" s="459"/>
      <c r="C35" s="459"/>
      <c r="D35" s="668"/>
      <c r="E35" s="668"/>
      <c r="F35" s="668"/>
      <c r="G35" s="668"/>
      <c r="H35" s="668"/>
      <c r="I35" s="668"/>
      <c r="J35" s="668"/>
      <c r="K35" s="668"/>
      <c r="L35" s="668"/>
      <c r="M35" s="669"/>
    </row>
    <row r="36" spans="2:13" ht="15.75" customHeight="1">
      <c r="B36" s="459"/>
      <c r="C36" s="459"/>
      <c r="D36" s="668"/>
      <c r="E36" s="668"/>
      <c r="F36" s="668"/>
      <c r="G36" s="668"/>
      <c r="H36" s="668"/>
      <c r="I36" s="668"/>
      <c r="J36" s="668"/>
      <c r="K36" s="668"/>
      <c r="L36" s="668"/>
      <c r="M36" s="669"/>
    </row>
    <row r="37" spans="2:13">
      <c r="B37" s="459"/>
      <c r="C37" s="459"/>
      <c r="D37" s="668"/>
      <c r="E37" s="668"/>
      <c r="F37" s="668"/>
      <c r="G37" s="668"/>
      <c r="H37" s="668"/>
      <c r="I37" s="668"/>
      <c r="J37" s="668"/>
      <c r="K37" s="668"/>
      <c r="L37" s="668"/>
      <c r="M37" s="669"/>
    </row>
    <row r="38" spans="2:13">
      <c r="B38" s="459"/>
      <c r="C38" s="459"/>
      <c r="D38" s="668"/>
      <c r="E38" s="668"/>
      <c r="F38" s="668"/>
      <c r="G38" s="668"/>
      <c r="H38" s="668"/>
      <c r="I38" s="668"/>
      <c r="J38" s="668"/>
      <c r="K38" s="668"/>
      <c r="L38" s="668"/>
      <c r="M38" s="669"/>
    </row>
    <row r="39" spans="2:13">
      <c r="B39" s="459"/>
      <c r="C39" s="459"/>
      <c r="D39" s="668"/>
      <c r="E39" s="668"/>
      <c r="F39" s="668"/>
      <c r="G39" s="668"/>
      <c r="H39" s="668"/>
      <c r="I39" s="668"/>
      <c r="J39" s="668"/>
      <c r="K39" s="668"/>
      <c r="L39" s="668"/>
      <c r="M39" s="669"/>
    </row>
    <row r="40" spans="2:13">
      <c r="B40" s="459"/>
      <c r="C40" s="459"/>
      <c r="D40" s="668"/>
      <c r="E40" s="668"/>
      <c r="F40" s="668"/>
      <c r="G40" s="668"/>
      <c r="H40" s="668"/>
      <c r="I40" s="668"/>
      <c r="J40" s="668"/>
      <c r="K40" s="668"/>
      <c r="L40" s="668"/>
      <c r="M40" s="669"/>
    </row>
    <row r="41" spans="2:13">
      <c r="B41" s="459"/>
      <c r="C41" s="459"/>
      <c r="D41" s="668"/>
      <c r="E41" s="668"/>
      <c r="F41" s="668"/>
      <c r="G41" s="668"/>
      <c r="H41" s="668"/>
      <c r="I41" s="668"/>
      <c r="J41" s="668"/>
      <c r="K41" s="668"/>
      <c r="L41" s="668"/>
      <c r="M41" s="669"/>
    </row>
    <row r="42" spans="2:13">
      <c r="B42" s="459"/>
      <c r="C42" s="459"/>
      <c r="D42" s="668"/>
      <c r="E42" s="668"/>
      <c r="F42" s="668"/>
      <c r="G42" s="668"/>
      <c r="H42" s="668"/>
      <c r="I42" s="668"/>
      <c r="J42" s="668"/>
      <c r="K42" s="668"/>
      <c r="L42" s="668"/>
      <c r="M42" s="669"/>
    </row>
    <row r="43" spans="2:13">
      <c r="B43" s="459"/>
      <c r="C43" s="459"/>
      <c r="D43" s="668"/>
      <c r="E43" s="668"/>
      <c r="F43" s="668"/>
      <c r="G43" s="668"/>
      <c r="H43" s="668"/>
      <c r="I43" s="668"/>
      <c r="J43" s="668"/>
      <c r="K43" s="668"/>
      <c r="L43" s="668"/>
      <c r="M43" s="669"/>
    </row>
    <row r="44" spans="2:13">
      <c r="B44" s="459"/>
      <c r="C44" s="459"/>
      <c r="D44" s="668"/>
      <c r="E44" s="668"/>
      <c r="F44" s="668"/>
      <c r="G44" s="668"/>
      <c r="H44" s="668"/>
      <c r="I44" s="668"/>
      <c r="J44" s="668"/>
      <c r="K44" s="668"/>
      <c r="L44" s="668"/>
      <c r="M44" s="669"/>
    </row>
    <row r="45" spans="2:13">
      <c r="B45" s="459"/>
      <c r="C45" s="459"/>
      <c r="D45" s="668"/>
      <c r="E45" s="668"/>
      <c r="F45" s="668"/>
      <c r="G45" s="668"/>
      <c r="H45" s="668"/>
      <c r="I45" s="668"/>
      <c r="J45" s="668"/>
      <c r="K45" s="668"/>
      <c r="L45" s="668"/>
      <c r="M45" s="669"/>
    </row>
    <row r="46" spans="2:13">
      <c r="B46" s="459"/>
      <c r="C46" s="459"/>
      <c r="D46" s="668"/>
      <c r="E46" s="668"/>
      <c r="F46" s="668"/>
      <c r="G46" s="668"/>
      <c r="H46" s="668"/>
      <c r="I46" s="668"/>
      <c r="J46" s="668"/>
      <c r="K46" s="668"/>
      <c r="L46" s="668"/>
      <c r="M46" s="669"/>
    </row>
    <row r="47" spans="2:13">
      <c r="B47" s="459"/>
      <c r="C47" s="459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2:13">
      <c r="B48" s="459"/>
      <c r="C48" s="459"/>
      <c r="D48" s="668"/>
      <c r="E48" s="668"/>
      <c r="F48" s="668"/>
      <c r="G48" s="668"/>
      <c r="H48" s="668"/>
      <c r="I48" s="668"/>
      <c r="J48" s="668"/>
      <c r="K48" s="668"/>
      <c r="L48" s="668"/>
      <c r="M48" s="66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503A-FE6B-46C1-BA23-E50A99FD3151}">
  <sheetPr>
    <pageSetUpPr fitToPage="1"/>
  </sheetPr>
  <dimension ref="A1:AH157"/>
  <sheetViews>
    <sheetView showGridLines="0" view="pageBreakPreview" zoomScale="70" zoomScaleNormal="70" zoomScaleSheetLayoutView="70" workbookViewId="0">
      <pane ySplit="7" topLeftCell="A8" activePane="bottomLeft" state="frozen"/>
      <selection activeCell="G59" sqref="G59"/>
      <selection pane="bottomLeft" activeCell="A8" sqref="A8"/>
    </sheetView>
  </sheetViews>
  <sheetFormatPr defaultRowHeight="15.75"/>
  <cols>
    <col min="1" max="1" width="15.625" style="140" customWidth="1"/>
    <col min="2" max="2" width="11.75" style="140" bestFit="1" customWidth="1"/>
    <col min="3" max="3" width="7.5" style="140" bestFit="1" customWidth="1"/>
    <col min="4" max="11" width="10.25" style="140" customWidth="1"/>
    <col min="12" max="12" width="21.375" style="157" bestFit="1" customWidth="1"/>
    <col min="13" max="13" width="7.125" style="157" bestFit="1" customWidth="1"/>
    <col min="14" max="14" width="17.75" style="157" bestFit="1" customWidth="1"/>
    <col min="15" max="15" width="7.625" style="157" bestFit="1" customWidth="1"/>
    <col min="16" max="16" width="35.125" style="157" bestFit="1" customWidth="1"/>
    <col min="17" max="17" width="13.375" style="158" bestFit="1" customWidth="1"/>
    <col min="18" max="25" width="15.125" style="1" customWidth="1"/>
    <col min="26" max="26" width="9.375" style="1" customWidth="1"/>
    <col min="27" max="27" width="11.25" style="1" bestFit="1" customWidth="1"/>
    <col min="28" max="34" width="12.125" style="1" customWidth="1"/>
    <col min="35" max="16384" width="9" style="1"/>
  </cols>
  <sheetData>
    <row r="1" spans="1:34">
      <c r="A1" s="384" t="s">
        <v>334</v>
      </c>
      <c r="B1" s="385"/>
      <c r="C1" s="385"/>
      <c r="D1" s="385"/>
      <c r="E1" s="385"/>
      <c r="F1" s="385"/>
      <c r="G1" s="385"/>
      <c r="H1" s="385"/>
      <c r="I1" s="385"/>
      <c r="J1" s="385"/>
      <c r="K1" s="342"/>
    </row>
    <row r="2" spans="1:34">
      <c r="A2" s="387" t="s">
        <v>423</v>
      </c>
      <c r="B2" s="343"/>
      <c r="C2" s="343"/>
      <c r="D2" s="343"/>
      <c r="E2" s="343"/>
      <c r="F2" s="343"/>
      <c r="G2" s="343"/>
      <c r="H2" s="343"/>
      <c r="I2" s="343"/>
      <c r="J2" s="343"/>
      <c r="K2" s="401"/>
    </row>
    <row r="3" spans="1:34">
      <c r="A3" s="387" t="s">
        <v>508</v>
      </c>
      <c r="B3" s="343"/>
      <c r="C3" s="343"/>
      <c r="D3" s="389"/>
      <c r="E3" s="389"/>
      <c r="F3" s="389"/>
      <c r="G3" s="389"/>
      <c r="H3" s="389"/>
      <c r="I3" s="389"/>
      <c r="J3" s="389"/>
      <c r="K3" s="399"/>
    </row>
    <row r="4" spans="1:34">
      <c r="A4" s="437"/>
      <c r="B4" s="437"/>
      <c r="C4" s="437"/>
      <c r="D4" s="539" t="s">
        <v>622</v>
      </c>
      <c r="E4" s="539"/>
      <c r="F4" s="539"/>
      <c r="G4" s="539"/>
      <c r="H4" s="539"/>
      <c r="I4" s="539"/>
      <c r="J4" s="539"/>
      <c r="K4" s="441"/>
      <c r="L4" s="261" t="s">
        <v>421</v>
      </c>
      <c r="M4" s="252"/>
      <c r="N4" s="252"/>
      <c r="O4" s="252"/>
      <c r="P4" s="252"/>
      <c r="Q4" s="254"/>
    </row>
    <row r="5" spans="1:34">
      <c r="A5" s="141"/>
      <c r="B5" s="141"/>
      <c r="C5" s="90"/>
      <c r="D5" s="386" t="s">
        <v>501</v>
      </c>
      <c r="E5" s="386"/>
      <c r="F5" s="341"/>
      <c r="G5" s="223"/>
      <c r="H5" s="346" t="s">
        <v>503</v>
      </c>
      <c r="I5" s="386"/>
      <c r="J5" s="341"/>
      <c r="K5" s="223"/>
      <c r="L5" s="276" t="s">
        <v>423</v>
      </c>
      <c r="M5" s="255"/>
      <c r="N5" s="255"/>
      <c r="O5" s="255"/>
      <c r="P5" s="255"/>
      <c r="Q5" s="271"/>
    </row>
    <row r="6" spans="1:34" s="159" customFormat="1">
      <c r="A6" s="141" t="s">
        <v>514</v>
      </c>
      <c r="B6" s="141"/>
      <c r="C6" s="141"/>
      <c r="D6" s="646"/>
      <c r="E6" s="392"/>
      <c r="F6" s="392"/>
      <c r="G6" s="220" t="s">
        <v>494</v>
      </c>
      <c r="H6" s="392"/>
      <c r="I6" s="392"/>
      <c r="J6" s="392"/>
      <c r="K6" s="220" t="s">
        <v>494</v>
      </c>
      <c r="L6" s="256" t="s">
        <v>407</v>
      </c>
      <c r="M6" s="257"/>
      <c r="N6" s="258"/>
      <c r="O6" s="258"/>
      <c r="P6" s="259"/>
      <c r="Q6" s="260"/>
    </row>
    <row r="7" spans="1:34" s="159" customFormat="1">
      <c r="A7" s="337" t="s">
        <v>519</v>
      </c>
      <c r="B7" s="337" t="s">
        <v>513</v>
      </c>
      <c r="C7" s="265" t="s">
        <v>6</v>
      </c>
      <c r="D7" s="647" t="s">
        <v>406</v>
      </c>
      <c r="E7" s="217" t="s">
        <v>412</v>
      </c>
      <c r="F7" s="217" t="s">
        <v>414</v>
      </c>
      <c r="G7" s="217" t="s">
        <v>414</v>
      </c>
      <c r="H7" s="217" t="s">
        <v>406</v>
      </c>
      <c r="I7" s="217" t="s">
        <v>412</v>
      </c>
      <c r="J7" s="217" t="s">
        <v>414</v>
      </c>
      <c r="K7" s="218" t="s">
        <v>414</v>
      </c>
      <c r="L7" s="219"/>
      <c r="M7" s="219"/>
      <c r="N7" s="219" t="s">
        <v>209</v>
      </c>
      <c r="O7" s="219" t="s">
        <v>193</v>
      </c>
      <c r="P7" s="146" t="s">
        <v>401</v>
      </c>
      <c r="Q7" s="235" t="s">
        <v>206</v>
      </c>
    </row>
    <row r="8" spans="1:34" s="159" customFormat="1">
      <c r="A8" s="227" t="s">
        <v>515</v>
      </c>
      <c r="B8" s="227" t="s">
        <v>524</v>
      </c>
      <c r="C8" s="141">
        <v>0</v>
      </c>
      <c r="D8" s="268">
        <f>Q$19+IF(C8&lt;=600,C8*Q$23,600*Q$23+(C8-600)*Q$24)</f>
        <v>7.75</v>
      </c>
      <c r="E8" s="268">
        <f t="shared" ref="E8:E28" ca="1" si="0">Q$35+IF(C8&lt;=600,C8*Q$40,600*Q$40+(C8-600)*Q$42)</f>
        <v>10</v>
      </c>
      <c r="F8" s="268">
        <f ca="1">E8-D8</f>
        <v>2.25</v>
      </c>
      <c r="G8" s="517">
        <f ca="1">F8/D8*100</f>
        <v>29.032258064516132</v>
      </c>
      <c r="H8" s="268">
        <f ca="1">E8</f>
        <v>10</v>
      </c>
      <c r="I8" s="268">
        <f t="shared" ref="I8:I28" ca="1" si="1">Q$59+IF(C8&lt;=600,C8*Q$64,600*Q$64+(C8-600)*Q$66)</f>
        <v>10</v>
      </c>
      <c r="J8" s="268">
        <f ca="1">I8-H8</f>
        <v>0</v>
      </c>
      <c r="K8" s="517">
        <f ca="1">J8/H8*100</f>
        <v>0</v>
      </c>
      <c r="L8" s="262" t="s">
        <v>217</v>
      </c>
      <c r="M8" s="145" t="s">
        <v>402</v>
      </c>
      <c r="N8" s="144" t="s">
        <v>422</v>
      </c>
      <c r="O8" s="144" t="s">
        <v>199</v>
      </c>
      <c r="P8" s="144" t="s">
        <v>419</v>
      </c>
      <c r="Q8" s="144">
        <f>('Normalized Units'!I7-Q10-Q11)*R8/(R8+R9)</f>
        <v>1074260.9827545122</v>
      </c>
      <c r="R8" s="314">
        <f>109201-R9</f>
        <v>88346</v>
      </c>
    </row>
    <row r="9" spans="1:34" s="159" customFormat="1">
      <c r="A9" s="227" t="s">
        <v>515</v>
      </c>
      <c r="B9" s="227" t="s">
        <v>524</v>
      </c>
      <c r="C9" s="141">
        <v>50</v>
      </c>
      <c r="D9" s="141">
        <f t="shared" ref="D9:D28" si="2">Q$19+IF(C9&lt;=600,C9*Q$23,600*Q$23+(C9-600)*Q$24)</f>
        <v>11.888</v>
      </c>
      <c r="E9" s="141">
        <f t="shared" ca="1" si="0"/>
        <v>15.3085</v>
      </c>
      <c r="F9" s="141">
        <f t="shared" ref="F9:F28" ca="1" si="3">E9-D9</f>
        <v>3.4205000000000005</v>
      </c>
      <c r="G9" s="512">
        <f t="shared" ref="G9:G28" ca="1" si="4">F9/D9*100</f>
        <v>28.772711978465686</v>
      </c>
      <c r="H9" s="141">
        <f t="shared" ref="H9:H28" ca="1" si="5">E9</f>
        <v>15.3085</v>
      </c>
      <c r="I9" s="141">
        <f t="shared" ca="1" si="1"/>
        <v>16.439499999999999</v>
      </c>
      <c r="J9" s="141">
        <f t="shared" ref="J9:J28" ca="1" si="6">I9-H9</f>
        <v>1.1309999999999985</v>
      </c>
      <c r="K9" s="512">
        <f t="shared" ref="K9:K28" ca="1" si="7">J9/H9*100</f>
        <v>7.3880523891955345</v>
      </c>
      <c r="L9" s="237" t="s">
        <v>217</v>
      </c>
      <c r="M9" s="102" t="s">
        <v>402</v>
      </c>
      <c r="N9" s="100" t="s">
        <v>422</v>
      </c>
      <c r="O9" s="100" t="s">
        <v>199</v>
      </c>
      <c r="P9" s="100" t="s">
        <v>420</v>
      </c>
      <c r="Q9" s="100">
        <f>('Normalized Units'!I7-Q10-Q11)*R9/(R8+R9)</f>
        <v>253590.57337452009</v>
      </c>
      <c r="R9" s="314">
        <v>20855</v>
      </c>
      <c r="U9" s="612"/>
      <c r="V9" s="613" t="s">
        <v>447</v>
      </c>
      <c r="W9" s="546"/>
      <c r="X9" s="12"/>
      <c r="Z9" s="346" t="s">
        <v>615</v>
      </c>
      <c r="AA9" s="539"/>
      <c r="AB9" s="386"/>
      <c r="AC9" s="386"/>
      <c r="AD9" s="386"/>
      <c r="AE9" s="223"/>
      <c r="AF9" s="386"/>
      <c r="AG9" s="272" t="s">
        <v>616</v>
      </c>
      <c r="AH9" s="634"/>
    </row>
    <row r="10" spans="1:34" s="159" customFormat="1">
      <c r="A10" s="227" t="s">
        <v>515</v>
      </c>
      <c r="B10" s="227" t="s">
        <v>524</v>
      </c>
      <c r="C10" s="141">
        <v>100</v>
      </c>
      <c r="D10" s="141">
        <f t="shared" si="2"/>
        <v>16.026</v>
      </c>
      <c r="E10" s="141">
        <f t="shared" ca="1" si="0"/>
        <v>20.617000000000001</v>
      </c>
      <c r="F10" s="141">
        <f t="shared" ca="1" si="3"/>
        <v>4.5910000000000011</v>
      </c>
      <c r="G10" s="512">
        <f t="shared" ca="1" si="4"/>
        <v>28.647198302758024</v>
      </c>
      <c r="H10" s="141">
        <f t="shared" ca="1" si="5"/>
        <v>20.617000000000001</v>
      </c>
      <c r="I10" s="141">
        <f t="shared" ca="1" si="1"/>
        <v>22.878999999999998</v>
      </c>
      <c r="J10" s="141">
        <f t="shared" ca="1" si="6"/>
        <v>2.2619999999999969</v>
      </c>
      <c r="K10" s="512">
        <f t="shared" ca="1" si="7"/>
        <v>10.971528350390439</v>
      </c>
      <c r="L10" s="237" t="s">
        <v>217</v>
      </c>
      <c r="M10" s="102" t="s">
        <v>402</v>
      </c>
      <c r="N10" s="100" t="s">
        <v>422</v>
      </c>
      <c r="O10" s="100" t="s">
        <v>200</v>
      </c>
      <c r="P10" s="100" t="s">
        <v>419</v>
      </c>
      <c r="Q10" s="141">
        <v>1026.7019354838708</v>
      </c>
      <c r="U10" s="614"/>
      <c r="V10" s="615" t="s">
        <v>448</v>
      </c>
      <c r="W10" s="616"/>
      <c r="X10" s="20"/>
      <c r="Z10" s="437"/>
      <c r="AA10" s="437"/>
      <c r="AB10" s="437"/>
      <c r="AC10" s="437"/>
      <c r="AD10" s="437"/>
      <c r="AE10" s="437"/>
      <c r="AF10" s="546"/>
      <c r="AG10" s="633" t="s">
        <v>609</v>
      </c>
      <c r="AH10" s="381"/>
    </row>
    <row r="11" spans="1:34" s="159" customFormat="1">
      <c r="A11" s="227" t="s">
        <v>515</v>
      </c>
      <c r="B11" s="227" t="s">
        <v>524</v>
      </c>
      <c r="C11" s="141">
        <v>150</v>
      </c>
      <c r="D11" s="141">
        <f t="shared" si="2"/>
        <v>20.164000000000001</v>
      </c>
      <c r="E11" s="141">
        <f t="shared" ca="1" si="0"/>
        <v>25.9255</v>
      </c>
      <c r="F11" s="141">
        <f t="shared" ca="1" si="3"/>
        <v>5.7614999999999981</v>
      </c>
      <c r="G11" s="512">
        <f t="shared" ca="1" si="4"/>
        <v>28.573199761951983</v>
      </c>
      <c r="H11" s="141">
        <f t="shared" ca="1" si="5"/>
        <v>25.9255</v>
      </c>
      <c r="I11" s="141">
        <f t="shared" ca="1" si="1"/>
        <v>29.318499999999997</v>
      </c>
      <c r="J11" s="141">
        <f t="shared" ca="1" si="6"/>
        <v>3.3929999999999971</v>
      </c>
      <c r="K11" s="512">
        <f t="shared" ca="1" si="7"/>
        <v>13.087500723226157</v>
      </c>
      <c r="L11" s="237" t="s">
        <v>217</v>
      </c>
      <c r="M11" s="102" t="s">
        <v>402</v>
      </c>
      <c r="N11" s="100" t="s">
        <v>422</v>
      </c>
      <c r="O11" s="100" t="s">
        <v>200</v>
      </c>
      <c r="P11" s="100" t="s">
        <v>420</v>
      </c>
      <c r="Q11" s="100">
        <v>22.100645161290323</v>
      </c>
      <c r="U11" s="614"/>
      <c r="V11" s="617" t="s">
        <v>449</v>
      </c>
      <c r="W11" s="616"/>
      <c r="X11" s="20"/>
      <c r="Z11" s="428"/>
      <c r="AA11" s="90"/>
      <c r="AB11" s="90"/>
      <c r="AC11" s="611"/>
      <c r="AD11" s="611"/>
      <c r="AE11" s="611"/>
      <c r="AF11" s="618" t="s">
        <v>611</v>
      </c>
      <c r="AG11" s="509" t="s">
        <v>617</v>
      </c>
      <c r="AH11" s="383"/>
    </row>
    <row r="12" spans="1:34" s="159" customFormat="1">
      <c r="A12" s="227" t="s">
        <v>515</v>
      </c>
      <c r="B12" s="227" t="s">
        <v>524</v>
      </c>
      <c r="C12" s="141">
        <v>200</v>
      </c>
      <c r="D12" s="141">
        <f t="shared" si="2"/>
        <v>24.302</v>
      </c>
      <c r="E12" s="141">
        <f t="shared" ca="1" si="0"/>
        <v>31.234000000000002</v>
      </c>
      <c r="F12" s="141">
        <f t="shared" ca="1" si="3"/>
        <v>6.9320000000000022</v>
      </c>
      <c r="G12" s="512">
        <f t="shared" ca="1" si="4"/>
        <v>28.524401283844959</v>
      </c>
      <c r="H12" s="141">
        <f t="shared" ca="1" si="5"/>
        <v>31.234000000000002</v>
      </c>
      <c r="I12" s="141">
        <f t="shared" ca="1" si="1"/>
        <v>35.757999999999996</v>
      </c>
      <c r="J12" s="141">
        <f t="shared" ca="1" si="6"/>
        <v>4.5239999999999938</v>
      </c>
      <c r="K12" s="512">
        <f t="shared" ca="1" si="7"/>
        <v>14.484215918550278</v>
      </c>
      <c r="L12" s="237" t="s">
        <v>217</v>
      </c>
      <c r="M12" s="102" t="s">
        <v>402</v>
      </c>
      <c r="N12" s="100" t="s">
        <v>422</v>
      </c>
      <c r="O12" s="100" t="s">
        <v>195</v>
      </c>
      <c r="P12" s="100" t="s">
        <v>196</v>
      </c>
      <c r="Q12" s="100">
        <f>SUMIFS('Normalized Units'!I:I,'Normalized Units'!B:B,"Normalized Billing Units",'Normalized Units'!C:C,N12,'Normalized Units'!H:H,P12)</f>
        <v>6381.4662921348308</v>
      </c>
      <c r="U12" s="614"/>
      <c r="V12" s="617" t="s">
        <v>450</v>
      </c>
      <c r="W12" s="619" t="s">
        <v>451</v>
      </c>
      <c r="X12" s="381"/>
      <c r="Z12" s="611"/>
      <c r="AA12" s="611"/>
      <c r="AB12" s="611"/>
      <c r="AC12" s="90" t="s">
        <v>521</v>
      </c>
      <c r="AD12" s="90" t="s">
        <v>522</v>
      </c>
      <c r="AE12" s="90" t="s">
        <v>460</v>
      </c>
      <c r="AF12" s="447" t="s">
        <v>460</v>
      </c>
      <c r="AG12" s="614" t="s">
        <v>613</v>
      </c>
      <c r="AH12" s="614" t="s">
        <v>614</v>
      </c>
    </row>
    <row r="13" spans="1:34" s="159" customFormat="1">
      <c r="A13" s="227" t="s">
        <v>515</v>
      </c>
      <c r="B13" s="227" t="s">
        <v>524</v>
      </c>
      <c r="C13" s="141">
        <v>300</v>
      </c>
      <c r="D13" s="141">
        <f t="shared" si="2"/>
        <v>32.578000000000003</v>
      </c>
      <c r="E13" s="141">
        <f t="shared" ca="1" si="0"/>
        <v>41.850999999999999</v>
      </c>
      <c r="F13" s="141">
        <f t="shared" ca="1" si="3"/>
        <v>9.2729999999999961</v>
      </c>
      <c r="G13" s="512">
        <f t="shared" ca="1" si="4"/>
        <v>28.463994106452194</v>
      </c>
      <c r="H13" s="141">
        <f t="shared" ca="1" si="5"/>
        <v>41.850999999999999</v>
      </c>
      <c r="I13" s="141">
        <f t="shared" ca="1" si="1"/>
        <v>48.636999999999993</v>
      </c>
      <c r="J13" s="141">
        <f t="shared" ca="1" si="6"/>
        <v>6.7859999999999943</v>
      </c>
      <c r="K13" s="512">
        <f t="shared" ca="1" si="7"/>
        <v>16.214666316217041</v>
      </c>
      <c r="L13" s="237" t="s">
        <v>217</v>
      </c>
      <c r="M13" s="102" t="s">
        <v>402</v>
      </c>
      <c r="N13" s="100" t="s">
        <v>422</v>
      </c>
      <c r="O13" s="100" t="s">
        <v>195</v>
      </c>
      <c r="P13" s="100" t="s">
        <v>280</v>
      </c>
      <c r="Q13" s="100">
        <f>SUMIFS('Normalized Units'!I:I,'Normalized Units'!B:B,"Normalized Billing Units",'Normalized Units'!C:C,N13,'Normalized Units'!H:H,P13)</f>
        <v>596.1514285714286</v>
      </c>
      <c r="S13" s="439"/>
      <c r="U13" s="390" t="s">
        <v>412</v>
      </c>
      <c r="V13" s="615" t="s">
        <v>452</v>
      </c>
      <c r="W13" s="319" t="s">
        <v>453</v>
      </c>
      <c r="X13" s="383"/>
      <c r="Z13" s="265" t="s">
        <v>520</v>
      </c>
      <c r="AA13" s="265" t="s">
        <v>461</v>
      </c>
      <c r="AB13" s="448" t="s">
        <v>462</v>
      </c>
      <c r="AC13" s="265" t="s">
        <v>472</v>
      </c>
      <c r="AD13" s="265" t="s">
        <v>468</v>
      </c>
      <c r="AE13" s="265" t="s">
        <v>463</v>
      </c>
      <c r="AF13" s="448" t="s">
        <v>612</v>
      </c>
      <c r="AG13" s="265" t="s">
        <v>520</v>
      </c>
      <c r="AH13" s="265" t="s">
        <v>520</v>
      </c>
    </row>
    <row r="14" spans="1:34" s="159" customFormat="1">
      <c r="A14" s="227" t="s">
        <v>515</v>
      </c>
      <c r="B14" s="227" t="s">
        <v>524</v>
      </c>
      <c r="C14" s="141">
        <v>400</v>
      </c>
      <c r="D14" s="141">
        <f t="shared" si="2"/>
        <v>40.853999999999999</v>
      </c>
      <c r="E14" s="141">
        <f t="shared" ca="1" si="0"/>
        <v>52.468000000000004</v>
      </c>
      <c r="F14" s="141">
        <f t="shared" ca="1" si="3"/>
        <v>11.614000000000004</v>
      </c>
      <c r="G14" s="512">
        <f t="shared" ca="1" si="4"/>
        <v>28.428060899789504</v>
      </c>
      <c r="H14" s="141">
        <f t="shared" ca="1" si="5"/>
        <v>52.468000000000004</v>
      </c>
      <c r="I14" s="141">
        <f t="shared" ca="1" si="1"/>
        <v>61.515999999999998</v>
      </c>
      <c r="J14" s="141">
        <f t="shared" ca="1" si="6"/>
        <v>9.0479999999999947</v>
      </c>
      <c r="K14" s="512">
        <f t="shared" ca="1" si="7"/>
        <v>17.244796828543102</v>
      </c>
      <c r="L14" s="237" t="s">
        <v>217</v>
      </c>
      <c r="M14" s="102" t="s">
        <v>402</v>
      </c>
      <c r="N14" s="100" t="s">
        <v>422</v>
      </c>
      <c r="O14" s="100" t="s">
        <v>195</v>
      </c>
      <c r="P14" s="417" t="s">
        <v>396</v>
      </c>
      <c r="Q14" s="100">
        <f>'Normalized Units'!U195+'Normalized Units'!J195+'Normalized Units'!K195+'Normalized Units'!L195</f>
        <v>232417497.86607584</v>
      </c>
      <c r="U14" s="390" t="s">
        <v>454</v>
      </c>
      <c r="V14" s="305" t="s">
        <v>455</v>
      </c>
      <c r="W14" s="620" t="s">
        <v>456</v>
      </c>
      <c r="X14" s="620" t="s">
        <v>457</v>
      </c>
      <c r="Z14" s="406">
        <v>2024</v>
      </c>
      <c r="AA14" s="390" t="s">
        <v>466</v>
      </c>
      <c r="AB14" s="621">
        <v>7.847140990578734E-2</v>
      </c>
      <c r="AC14" s="419"/>
      <c r="AD14" s="419">
        <f>AB14</f>
        <v>7.847140990578734E-2</v>
      </c>
      <c r="AE14" s="419"/>
      <c r="AF14" s="622"/>
      <c r="AG14" s="437"/>
      <c r="AH14" s="437"/>
    </row>
    <row r="15" spans="1:34" s="159" customFormat="1">
      <c r="A15" s="337" t="s">
        <v>515</v>
      </c>
      <c r="B15" s="337" t="s">
        <v>524</v>
      </c>
      <c r="C15" s="142">
        <v>500</v>
      </c>
      <c r="D15" s="142">
        <f t="shared" si="2"/>
        <v>49.13</v>
      </c>
      <c r="E15" s="142">
        <f t="shared" ca="1" si="0"/>
        <v>63.085000000000001</v>
      </c>
      <c r="F15" s="142">
        <f t="shared" ca="1" si="3"/>
        <v>13.954999999999998</v>
      </c>
      <c r="G15" s="513">
        <f t="shared" ca="1" si="4"/>
        <v>28.404233665784652</v>
      </c>
      <c r="H15" s="142">
        <f t="shared" ca="1" si="5"/>
        <v>63.085000000000001</v>
      </c>
      <c r="I15" s="142">
        <f t="shared" ca="1" si="1"/>
        <v>74.394999999999996</v>
      </c>
      <c r="J15" s="142">
        <f t="shared" ca="1" si="6"/>
        <v>11.309999999999995</v>
      </c>
      <c r="K15" s="513">
        <f t="shared" ca="1" si="7"/>
        <v>17.928192121740501</v>
      </c>
      <c r="L15" s="237" t="s">
        <v>217</v>
      </c>
      <c r="M15" s="102" t="s">
        <v>402</v>
      </c>
      <c r="N15" s="100" t="s">
        <v>422</v>
      </c>
      <c r="O15" s="100" t="s">
        <v>195</v>
      </c>
      <c r="P15" s="417" t="s">
        <v>394</v>
      </c>
      <c r="Q15" s="100">
        <f>'Normalized Units'!M195+'Normalized Units'!N195+'Normalized Units'!O195+'Normalized Units'!P195+'Normalized Units'!Q195+'Normalized Units'!R195+'Normalized Units'!S195+'Normalized Units'!T195</f>
        <v>484809660.2077716</v>
      </c>
      <c r="U15" s="450" t="s">
        <v>458</v>
      </c>
      <c r="V15" s="307" t="s">
        <v>459</v>
      </c>
      <c r="W15" s="623" t="s">
        <v>415</v>
      </c>
      <c r="X15" s="623" t="s">
        <v>413</v>
      </c>
      <c r="Z15" s="406">
        <v>2024</v>
      </c>
      <c r="AA15" s="390" t="s">
        <v>467</v>
      </c>
      <c r="AB15" s="621">
        <v>5.8059305111111105E-2</v>
      </c>
      <c r="AC15" s="419"/>
      <c r="AD15" s="419">
        <f t="shared" ref="AD15:AD16" si="8">AB15</f>
        <v>5.8059305111111105E-2</v>
      </c>
      <c r="AE15" s="419"/>
      <c r="AF15" s="622"/>
      <c r="AG15" s="436"/>
      <c r="AH15" s="436"/>
    </row>
    <row r="16" spans="1:34" s="159" customFormat="1">
      <c r="A16" s="227" t="s">
        <v>515</v>
      </c>
      <c r="B16" s="227" t="s">
        <v>524</v>
      </c>
      <c r="C16" s="141">
        <v>600</v>
      </c>
      <c r="D16" s="141">
        <f t="shared" si="2"/>
        <v>57.405999999999999</v>
      </c>
      <c r="E16" s="141">
        <f t="shared" ca="1" si="0"/>
        <v>73.701999999999998</v>
      </c>
      <c r="F16" s="141">
        <f t="shared" ca="1" si="3"/>
        <v>16.295999999999999</v>
      </c>
      <c r="G16" s="512">
        <f t="shared" ca="1" si="4"/>
        <v>28.387276591297077</v>
      </c>
      <c r="H16" s="141">
        <f t="shared" ca="1" si="5"/>
        <v>73.701999999999998</v>
      </c>
      <c r="I16" s="141">
        <f t="shared" ca="1" si="1"/>
        <v>87.273999999999987</v>
      </c>
      <c r="J16" s="141">
        <f t="shared" ca="1" si="6"/>
        <v>13.571999999999989</v>
      </c>
      <c r="K16" s="512">
        <f t="shared" ca="1" si="7"/>
        <v>18.414697023147252</v>
      </c>
      <c r="L16" s="237" t="s">
        <v>217</v>
      </c>
      <c r="M16" s="102" t="s">
        <v>402</v>
      </c>
      <c r="N16" s="100" t="s">
        <v>422</v>
      </c>
      <c r="O16" s="100" t="s">
        <v>195</v>
      </c>
      <c r="P16" s="417" t="s">
        <v>397</v>
      </c>
      <c r="Q16" s="100">
        <f>'Normalized Units'!U196+'Normalized Units'!J196+'Normalized Units'!K196+'Normalized Units'!L196</f>
        <v>237000520.04247469</v>
      </c>
      <c r="U16" s="624">
        <f>ROUND(V16/100*(W16-X16)/12,0)</f>
        <v>8</v>
      </c>
      <c r="V16" s="625">
        <v>2.36</v>
      </c>
      <c r="W16" s="400">
        <v>7657</v>
      </c>
      <c r="X16" s="400">
        <v>3713</v>
      </c>
      <c r="Z16" s="406">
        <v>2024</v>
      </c>
      <c r="AA16" s="390" t="s">
        <v>468</v>
      </c>
      <c r="AB16" s="621">
        <v>5.3759932258064518E-2</v>
      </c>
      <c r="AC16" s="419"/>
      <c r="AD16" s="419">
        <f t="shared" si="8"/>
        <v>5.3759932258064518E-2</v>
      </c>
      <c r="AE16" s="419"/>
      <c r="AF16" s="622"/>
      <c r="AG16" s="436"/>
      <c r="AH16" s="436"/>
    </row>
    <row r="17" spans="1:34" s="159" customFormat="1">
      <c r="A17" s="227" t="s">
        <v>515</v>
      </c>
      <c r="B17" s="227" t="s">
        <v>524</v>
      </c>
      <c r="C17" s="141">
        <v>700</v>
      </c>
      <c r="D17" s="141">
        <f t="shared" si="2"/>
        <v>68.603999999999999</v>
      </c>
      <c r="E17" s="141">
        <f t="shared" ca="1" si="0"/>
        <v>85.78</v>
      </c>
      <c r="F17" s="141">
        <f t="shared" ca="1" si="3"/>
        <v>17.176000000000002</v>
      </c>
      <c r="G17" s="512">
        <f t="shared" ca="1" si="4"/>
        <v>25.036441023847011</v>
      </c>
      <c r="H17" s="141">
        <f t="shared" ca="1" si="5"/>
        <v>85.78</v>
      </c>
      <c r="I17" s="141">
        <f t="shared" ca="1" si="1"/>
        <v>100.15299999999999</v>
      </c>
      <c r="J17" s="141">
        <f t="shared" ca="1" si="6"/>
        <v>14.37299999999999</v>
      </c>
      <c r="K17" s="512">
        <f t="shared" ca="1" si="7"/>
        <v>16.755653998601062</v>
      </c>
      <c r="L17" s="237" t="s">
        <v>217</v>
      </c>
      <c r="M17" s="102" t="s">
        <v>402</v>
      </c>
      <c r="N17" s="100" t="s">
        <v>422</v>
      </c>
      <c r="O17" s="100" t="s">
        <v>195</v>
      </c>
      <c r="P17" s="417" t="s">
        <v>395</v>
      </c>
      <c r="Q17" s="100">
        <f>'Normalized Units'!M196+'Normalized Units'!N196+'Normalized Units'!O196+'Normalized Units'!P196+'Normalized Units'!Q196+'Normalized Units'!R196+'Normalized Units'!S196+'Normalized Units'!T196</f>
        <v>663390368.96793199</v>
      </c>
      <c r="Z17" s="406">
        <v>2024</v>
      </c>
      <c r="AA17" s="390" t="s">
        <v>469</v>
      </c>
      <c r="AB17" s="621">
        <v>5.5844087777777773E-2</v>
      </c>
      <c r="AC17" s="419">
        <f>AB17</f>
        <v>5.5844087777777773E-2</v>
      </c>
      <c r="AD17" s="351"/>
      <c r="AE17" s="419"/>
      <c r="AF17" s="622"/>
      <c r="AG17" s="436"/>
      <c r="AH17" s="436"/>
    </row>
    <row r="18" spans="1:34" s="159" customFormat="1">
      <c r="A18" s="227" t="s">
        <v>515</v>
      </c>
      <c r="B18" s="227" t="s">
        <v>524</v>
      </c>
      <c r="C18" s="141">
        <v>800</v>
      </c>
      <c r="D18" s="141">
        <f t="shared" si="2"/>
        <v>79.801999999999992</v>
      </c>
      <c r="E18" s="141">
        <f t="shared" ca="1" si="0"/>
        <v>97.858000000000004</v>
      </c>
      <c r="F18" s="141">
        <f t="shared" ca="1" si="3"/>
        <v>18.056000000000012</v>
      </c>
      <c r="G18" s="512">
        <f t="shared" ca="1" si="4"/>
        <v>22.625999348387275</v>
      </c>
      <c r="H18" s="141">
        <f t="shared" ca="1" si="5"/>
        <v>97.858000000000004</v>
      </c>
      <c r="I18" s="141">
        <f t="shared" ca="1" si="1"/>
        <v>113.03199999999998</v>
      </c>
      <c r="J18" s="141">
        <f t="shared" ca="1" si="6"/>
        <v>15.173999999999978</v>
      </c>
      <c r="K18" s="512">
        <f t="shared" ca="1" si="7"/>
        <v>15.506141552044777</v>
      </c>
      <c r="L18" s="263" t="s">
        <v>217</v>
      </c>
      <c r="M18" s="150" t="s">
        <v>402</v>
      </c>
      <c r="N18" s="152" t="s">
        <v>422</v>
      </c>
      <c r="O18" s="152" t="s">
        <v>195</v>
      </c>
      <c r="P18" s="421" t="s">
        <v>366</v>
      </c>
      <c r="Q18" s="152">
        <f>SUMIFS('Normalized Units'!I:I,'Normalized Units'!B:B,"Normalized Billing Units",'Normalized Units'!C:C,N18,'Normalized Units'!H:H,P18)</f>
        <v>340424.48000000004</v>
      </c>
      <c r="Z18" s="406">
        <v>2024</v>
      </c>
      <c r="AA18" s="390" t="s">
        <v>470</v>
      </c>
      <c r="AB18" s="621">
        <v>0.1330884705376344</v>
      </c>
      <c r="AC18" s="419">
        <f>AB18</f>
        <v>0.1330884705376344</v>
      </c>
      <c r="AD18" s="351"/>
      <c r="AE18" s="419"/>
      <c r="AF18" s="622"/>
      <c r="AG18" s="436"/>
      <c r="AH18" s="436"/>
    </row>
    <row r="19" spans="1:34" s="159" customFormat="1">
      <c r="A19" s="227" t="s">
        <v>515</v>
      </c>
      <c r="B19" s="227" t="s">
        <v>524</v>
      </c>
      <c r="C19" s="141">
        <v>900</v>
      </c>
      <c r="D19" s="141">
        <f t="shared" si="2"/>
        <v>91</v>
      </c>
      <c r="E19" s="141">
        <f t="shared" ca="1" si="0"/>
        <v>109.93600000000001</v>
      </c>
      <c r="F19" s="141">
        <f t="shared" ca="1" si="3"/>
        <v>18.936000000000007</v>
      </c>
      <c r="G19" s="512">
        <f t="shared" ca="1" si="4"/>
        <v>20.808791208791217</v>
      </c>
      <c r="H19" s="141">
        <f t="shared" ca="1" si="5"/>
        <v>109.93600000000001</v>
      </c>
      <c r="I19" s="141">
        <f t="shared" ca="1" si="1"/>
        <v>125.91099999999997</v>
      </c>
      <c r="J19" s="141">
        <f t="shared" ca="1" si="6"/>
        <v>15.974999999999966</v>
      </c>
      <c r="K19" s="512">
        <f t="shared" ca="1" si="7"/>
        <v>14.531181778489271</v>
      </c>
      <c r="L19" s="145" t="s">
        <v>406</v>
      </c>
      <c r="M19" s="145" t="s">
        <v>403</v>
      </c>
      <c r="N19" s="145" t="s">
        <v>424</v>
      </c>
      <c r="O19" s="144" t="s">
        <v>195</v>
      </c>
      <c r="P19" s="145" t="s">
        <v>335</v>
      </c>
      <c r="Q19" s="422">
        <v>7.75</v>
      </c>
      <c r="Z19" s="406">
        <v>2024</v>
      </c>
      <c r="AA19" s="390" t="s">
        <v>471</v>
      </c>
      <c r="AB19" s="621">
        <v>0.15451822290322581</v>
      </c>
      <c r="AC19" s="419">
        <f>AB19</f>
        <v>0.15451822290322581</v>
      </c>
      <c r="AD19" s="419"/>
      <c r="AE19" s="419"/>
      <c r="AF19" s="622"/>
      <c r="AG19" s="436"/>
      <c r="AH19" s="436"/>
    </row>
    <row r="20" spans="1:34" s="159" customFormat="1">
      <c r="A20" s="227" t="s">
        <v>515</v>
      </c>
      <c r="B20" s="227" t="s">
        <v>524</v>
      </c>
      <c r="C20" s="141">
        <v>1000</v>
      </c>
      <c r="D20" s="141">
        <f t="shared" si="2"/>
        <v>102.19800000000001</v>
      </c>
      <c r="E20" s="141">
        <f t="shared" ca="1" si="0"/>
        <v>122.014</v>
      </c>
      <c r="F20" s="141">
        <f t="shared" ca="1" si="3"/>
        <v>19.815999999999988</v>
      </c>
      <c r="G20" s="512">
        <f t="shared" ca="1" si="4"/>
        <v>19.38981193369732</v>
      </c>
      <c r="H20" s="141">
        <f t="shared" ca="1" si="5"/>
        <v>122.014</v>
      </c>
      <c r="I20" s="141">
        <f t="shared" ca="1" si="1"/>
        <v>138.79</v>
      </c>
      <c r="J20" s="141">
        <f t="shared" ca="1" si="6"/>
        <v>16.775999999999996</v>
      </c>
      <c r="K20" s="512">
        <f t="shared" ca="1" si="7"/>
        <v>13.749241890274883</v>
      </c>
      <c r="L20" s="102" t="s">
        <v>406</v>
      </c>
      <c r="M20" s="102" t="s">
        <v>403</v>
      </c>
      <c r="N20" s="102" t="s">
        <v>424</v>
      </c>
      <c r="O20" s="100" t="s">
        <v>195</v>
      </c>
      <c r="P20" s="100" t="s">
        <v>196</v>
      </c>
      <c r="Q20" s="419">
        <v>1.78</v>
      </c>
      <c r="Z20" s="406">
        <v>2024</v>
      </c>
      <c r="AA20" s="390" t="s">
        <v>472</v>
      </c>
      <c r="AB20" s="621">
        <v>0.12423173066666666</v>
      </c>
      <c r="AC20" s="419">
        <f t="shared" ref="AC20" si="9">AB20</f>
        <v>0.12423173066666666</v>
      </c>
      <c r="AD20" s="419"/>
      <c r="AE20" s="419"/>
      <c r="AF20" s="622"/>
      <c r="AG20" s="436"/>
      <c r="AH20" s="436"/>
    </row>
    <row r="21" spans="1:34" s="159" customFormat="1">
      <c r="A21" s="227" t="s">
        <v>515</v>
      </c>
      <c r="B21" s="227" t="s">
        <v>524</v>
      </c>
      <c r="C21" s="141">
        <v>1100</v>
      </c>
      <c r="D21" s="141">
        <f t="shared" si="2"/>
        <v>113.39599999999999</v>
      </c>
      <c r="E21" s="141">
        <f t="shared" ca="1" si="0"/>
        <v>134.09199999999998</v>
      </c>
      <c r="F21" s="141">
        <f t="shared" ca="1" si="3"/>
        <v>20.695999999999998</v>
      </c>
      <c r="G21" s="512">
        <f t="shared" ca="1" si="4"/>
        <v>18.251084694345479</v>
      </c>
      <c r="H21" s="141">
        <f t="shared" ca="1" si="5"/>
        <v>134.09199999999998</v>
      </c>
      <c r="I21" s="141">
        <f t="shared" ca="1" si="1"/>
        <v>151.66899999999998</v>
      </c>
      <c r="J21" s="141">
        <f t="shared" ca="1" si="6"/>
        <v>17.576999999999998</v>
      </c>
      <c r="K21" s="512">
        <f t="shared" ca="1" si="7"/>
        <v>13.108164543746085</v>
      </c>
      <c r="L21" s="102" t="s">
        <v>406</v>
      </c>
      <c r="M21" s="102" t="s">
        <v>403</v>
      </c>
      <c r="N21" s="102" t="s">
        <v>424</v>
      </c>
      <c r="O21" s="100" t="s">
        <v>195</v>
      </c>
      <c r="P21" s="100" t="s">
        <v>280</v>
      </c>
      <c r="Q21" s="419">
        <v>3.5</v>
      </c>
      <c r="Z21" s="406">
        <v>2024</v>
      </c>
      <c r="AA21" s="390" t="s">
        <v>473</v>
      </c>
      <c r="AB21" s="621">
        <v>8.3900320000000014E-2</v>
      </c>
      <c r="AC21" s="351"/>
      <c r="AD21" s="419">
        <f>AB21</f>
        <v>8.3900320000000014E-2</v>
      </c>
      <c r="AE21" s="419"/>
      <c r="AF21" s="622"/>
      <c r="AG21" s="436"/>
      <c r="AH21" s="436"/>
    </row>
    <row r="22" spans="1:34" s="159" customFormat="1">
      <c r="A22" s="336" t="s">
        <v>515</v>
      </c>
      <c r="B22" s="336" t="s">
        <v>524</v>
      </c>
      <c r="C22" s="340">
        <f>MROUND((Q14+Q15+Q16+Q17)/(Q8+Q9+Q10+Q11),100)</f>
        <v>1200</v>
      </c>
      <c r="D22" s="340">
        <f t="shared" si="2"/>
        <v>124.59399999999999</v>
      </c>
      <c r="E22" s="340">
        <f t="shared" ca="1" si="0"/>
        <v>146.17000000000002</v>
      </c>
      <c r="F22" s="340">
        <f t="shared" ca="1" si="3"/>
        <v>21.576000000000022</v>
      </c>
      <c r="G22" s="514">
        <f t="shared" ca="1" si="4"/>
        <v>17.317045764643581</v>
      </c>
      <c r="H22" s="340">
        <f t="shared" ca="1" si="5"/>
        <v>146.17000000000002</v>
      </c>
      <c r="I22" s="340">
        <f t="shared" ca="1" si="1"/>
        <v>164.54799999999997</v>
      </c>
      <c r="J22" s="340">
        <f t="shared" ca="1" si="6"/>
        <v>18.377999999999957</v>
      </c>
      <c r="K22" s="514">
        <f t="shared" ca="1" si="7"/>
        <v>12.573031401792404</v>
      </c>
      <c r="L22" s="102" t="s">
        <v>406</v>
      </c>
      <c r="M22" s="102" t="s">
        <v>403</v>
      </c>
      <c r="N22" s="102" t="s">
        <v>424</v>
      </c>
      <c r="O22" s="100" t="s">
        <v>195</v>
      </c>
      <c r="P22" s="417" t="s">
        <v>366</v>
      </c>
      <c r="Q22" s="324">
        <v>-0.25</v>
      </c>
      <c r="Z22" s="406">
        <v>2024</v>
      </c>
      <c r="AA22" s="390" t="s">
        <v>474</v>
      </c>
      <c r="AB22" s="621">
        <v>8.9367898432732323E-2</v>
      </c>
      <c r="AC22" s="351"/>
      <c r="AD22" s="419">
        <f>AB22</f>
        <v>8.9367898432732323E-2</v>
      </c>
      <c r="AE22" s="419"/>
      <c r="AF22" s="622"/>
      <c r="AG22" s="436"/>
      <c r="AH22" s="436"/>
    </row>
    <row r="23" spans="1:34" s="159" customFormat="1">
      <c r="A23" s="227" t="s">
        <v>515</v>
      </c>
      <c r="B23" s="227" t="s">
        <v>524</v>
      </c>
      <c r="C23" s="141">
        <v>1300</v>
      </c>
      <c r="D23" s="141">
        <f t="shared" si="2"/>
        <v>135.792</v>
      </c>
      <c r="E23" s="141">
        <f t="shared" ca="1" si="0"/>
        <v>158.24799999999999</v>
      </c>
      <c r="F23" s="141">
        <f t="shared" ca="1" si="3"/>
        <v>22.455999999999989</v>
      </c>
      <c r="G23" s="512">
        <f t="shared" ca="1" si="4"/>
        <v>16.537056674914567</v>
      </c>
      <c r="H23" s="141">
        <f t="shared" ca="1" si="5"/>
        <v>158.24799999999999</v>
      </c>
      <c r="I23" s="141">
        <f t="shared" ca="1" si="1"/>
        <v>177.42699999999996</v>
      </c>
      <c r="J23" s="141">
        <f t="shared" ca="1" si="6"/>
        <v>19.178999999999974</v>
      </c>
      <c r="K23" s="512">
        <f t="shared" ca="1" si="7"/>
        <v>12.119584449724467</v>
      </c>
      <c r="L23" s="102" t="s">
        <v>406</v>
      </c>
      <c r="M23" s="102" t="s">
        <v>403</v>
      </c>
      <c r="N23" s="100" t="s">
        <v>334</v>
      </c>
      <c r="O23" s="100" t="s">
        <v>195</v>
      </c>
      <c r="P23" s="417" t="s">
        <v>197</v>
      </c>
      <c r="Q23" s="419">
        <v>8.276E-2</v>
      </c>
      <c r="Z23" s="407">
        <v>2024</v>
      </c>
      <c r="AA23" s="450" t="s">
        <v>475</v>
      </c>
      <c r="AB23" s="626">
        <v>0.11378116440860214</v>
      </c>
      <c r="AC23" s="423"/>
      <c r="AD23" s="423">
        <f>AB23</f>
        <v>0.11378116440860214</v>
      </c>
      <c r="AE23" s="423"/>
      <c r="AF23" s="627"/>
      <c r="AG23" s="541"/>
      <c r="AH23" s="541"/>
    </row>
    <row r="24" spans="1:34" s="159" customFormat="1">
      <c r="A24" s="227" t="s">
        <v>515</v>
      </c>
      <c r="B24" s="227" t="s">
        <v>524</v>
      </c>
      <c r="C24" s="141">
        <v>1400</v>
      </c>
      <c r="D24" s="141">
        <f t="shared" si="2"/>
        <v>146.99</v>
      </c>
      <c r="E24" s="141">
        <f t="shared" ca="1" si="0"/>
        <v>170.32599999999999</v>
      </c>
      <c r="F24" s="141">
        <f t="shared" ca="1" si="3"/>
        <v>23.335999999999984</v>
      </c>
      <c r="G24" s="512">
        <f t="shared" ca="1" si="4"/>
        <v>15.875909925845283</v>
      </c>
      <c r="H24" s="141">
        <f t="shared" ca="1" si="5"/>
        <v>170.32599999999999</v>
      </c>
      <c r="I24" s="141">
        <f t="shared" ca="1" si="1"/>
        <v>190.30599999999998</v>
      </c>
      <c r="J24" s="141">
        <f t="shared" ca="1" si="6"/>
        <v>19.97999999999999</v>
      </c>
      <c r="K24" s="512">
        <f t="shared" ca="1" si="7"/>
        <v>11.730446320585225</v>
      </c>
      <c r="L24" s="102" t="s">
        <v>406</v>
      </c>
      <c r="M24" s="102" t="s">
        <v>403</v>
      </c>
      <c r="N24" s="100" t="s">
        <v>334</v>
      </c>
      <c r="O24" s="100" t="s">
        <v>195</v>
      </c>
      <c r="P24" s="417" t="s">
        <v>198</v>
      </c>
      <c r="Q24" s="419">
        <v>0.11198</v>
      </c>
      <c r="S24" s="442" t="s">
        <v>334</v>
      </c>
      <c r="T24" s="380"/>
      <c r="Z24" s="405">
        <v>2025</v>
      </c>
      <c r="AA24" s="628" t="s">
        <v>464</v>
      </c>
      <c r="AB24" s="629">
        <v>0.11479678548387098</v>
      </c>
      <c r="AC24" s="422"/>
      <c r="AD24" s="422">
        <f t="shared" ref="AD24:AD25" si="10">AB24</f>
        <v>0.11479678548387098</v>
      </c>
      <c r="AE24" s="422"/>
      <c r="AF24" s="630"/>
      <c r="AG24" s="437"/>
      <c r="AH24" s="437"/>
    </row>
    <row r="25" spans="1:34" s="159" customFormat="1">
      <c r="A25" s="227" t="s">
        <v>515</v>
      </c>
      <c r="B25" s="227" t="s">
        <v>524</v>
      </c>
      <c r="C25" s="141">
        <v>1500</v>
      </c>
      <c r="D25" s="141">
        <f t="shared" si="2"/>
        <v>158.18799999999999</v>
      </c>
      <c r="E25" s="141">
        <f t="shared" ca="1" si="0"/>
        <v>182.404</v>
      </c>
      <c r="F25" s="141">
        <f t="shared" ca="1" si="3"/>
        <v>24.216000000000008</v>
      </c>
      <c r="G25" s="512">
        <f t="shared" ca="1" si="4"/>
        <v>15.308367259210565</v>
      </c>
      <c r="H25" s="141">
        <f t="shared" ca="1" si="5"/>
        <v>182.404</v>
      </c>
      <c r="I25" s="141">
        <f t="shared" ca="1" si="1"/>
        <v>203.18499999999997</v>
      </c>
      <c r="J25" s="141">
        <f t="shared" ca="1" si="6"/>
        <v>20.780999999999977</v>
      </c>
      <c r="K25" s="512">
        <f t="shared" ca="1" si="7"/>
        <v>11.392842262231079</v>
      </c>
      <c r="L25" s="102" t="s">
        <v>406</v>
      </c>
      <c r="M25" s="102" t="s">
        <v>403</v>
      </c>
      <c r="N25" s="102" t="s">
        <v>425</v>
      </c>
      <c r="O25" s="100" t="s">
        <v>195</v>
      </c>
      <c r="P25" s="417" t="s">
        <v>207</v>
      </c>
      <c r="Q25" s="419">
        <v>0.1298</v>
      </c>
      <c r="S25" s="387" t="s">
        <v>511</v>
      </c>
      <c r="T25" s="401"/>
      <c r="V25" s="553" t="s">
        <v>584</v>
      </c>
      <c r="W25" s="441"/>
      <c r="Z25" s="406">
        <v>2025</v>
      </c>
      <c r="AA25" s="390" t="s">
        <v>465</v>
      </c>
      <c r="AB25" s="621">
        <v>9.9773471428571431E-2</v>
      </c>
      <c r="AC25" s="419"/>
      <c r="AD25" s="419">
        <f t="shared" si="10"/>
        <v>9.9773471428571431E-2</v>
      </c>
      <c r="AE25" s="419"/>
      <c r="AF25" s="622"/>
      <c r="AG25" s="436"/>
      <c r="AH25" s="436"/>
    </row>
    <row r="26" spans="1:34" s="159" customFormat="1">
      <c r="A26" s="227" t="s">
        <v>515</v>
      </c>
      <c r="B26" s="227" t="s">
        <v>524</v>
      </c>
      <c r="C26" s="141">
        <v>1600</v>
      </c>
      <c r="D26" s="141">
        <f t="shared" si="2"/>
        <v>169.386</v>
      </c>
      <c r="E26" s="141">
        <f t="shared" ca="1" si="0"/>
        <v>194.482</v>
      </c>
      <c r="F26" s="141">
        <f t="shared" ca="1" si="3"/>
        <v>25.096000000000004</v>
      </c>
      <c r="G26" s="512">
        <f t="shared" ca="1" si="4"/>
        <v>14.815864357148763</v>
      </c>
      <c r="H26" s="141">
        <f t="shared" ca="1" si="5"/>
        <v>194.482</v>
      </c>
      <c r="I26" s="141">
        <f t="shared" ca="1" si="1"/>
        <v>216.06399999999996</v>
      </c>
      <c r="J26" s="141">
        <f t="shared" ca="1" si="6"/>
        <v>21.581999999999965</v>
      </c>
      <c r="K26" s="512">
        <f t="shared" ca="1" si="7"/>
        <v>11.097170946411476</v>
      </c>
      <c r="L26" s="150" t="s">
        <v>406</v>
      </c>
      <c r="M26" s="150" t="s">
        <v>403</v>
      </c>
      <c r="N26" s="150" t="s">
        <v>425</v>
      </c>
      <c r="O26" s="152" t="s">
        <v>195</v>
      </c>
      <c r="P26" s="418" t="s">
        <v>208</v>
      </c>
      <c r="Q26" s="423">
        <v>7.6749999999999999E-2</v>
      </c>
      <c r="S26" s="388" t="s">
        <v>512</v>
      </c>
      <c r="T26" s="399"/>
      <c r="V26" s="554" t="s">
        <v>609</v>
      </c>
      <c r="W26" s="554" t="s">
        <v>494</v>
      </c>
      <c r="Z26" s="406">
        <v>2025</v>
      </c>
      <c r="AA26" s="390" t="s">
        <v>466</v>
      </c>
      <c r="AB26" s="621">
        <v>8.2494677994616405E-2</v>
      </c>
      <c r="AC26" s="419"/>
      <c r="AD26" s="419">
        <f>AB26</f>
        <v>8.2494677994616405E-2</v>
      </c>
      <c r="AE26" s="419"/>
      <c r="AF26" s="622"/>
      <c r="AG26" s="141"/>
      <c r="AH26" s="141"/>
    </row>
    <row r="27" spans="1:34" s="140" customFormat="1">
      <c r="A27" s="227" t="s">
        <v>515</v>
      </c>
      <c r="B27" s="227" t="s">
        <v>524</v>
      </c>
      <c r="C27" s="141">
        <v>2000</v>
      </c>
      <c r="D27" s="141">
        <f t="shared" si="2"/>
        <v>214.178</v>
      </c>
      <c r="E27" s="141">
        <f t="shared" ca="1" si="0"/>
        <v>242.79399999999998</v>
      </c>
      <c r="F27" s="141">
        <f t="shared" ca="1" si="3"/>
        <v>28.615999999999985</v>
      </c>
      <c r="G27" s="512">
        <f t="shared" ca="1" si="4"/>
        <v>13.360849386958504</v>
      </c>
      <c r="H27" s="141">
        <f t="shared" ca="1" si="5"/>
        <v>242.79399999999998</v>
      </c>
      <c r="I27" s="141">
        <f t="shared" ca="1" si="1"/>
        <v>267.58</v>
      </c>
      <c r="J27" s="141">
        <f t="shared" ca="1" si="6"/>
        <v>24.786000000000001</v>
      </c>
      <c r="K27" s="512">
        <f t="shared" ca="1" si="7"/>
        <v>10.208654250105029</v>
      </c>
      <c r="L27" s="145" t="s">
        <v>406</v>
      </c>
      <c r="M27" s="264" t="s">
        <v>29</v>
      </c>
      <c r="N27" s="144" t="s">
        <v>422</v>
      </c>
      <c r="O27" s="144" t="s">
        <v>195</v>
      </c>
      <c r="P27" s="146" t="s">
        <v>335</v>
      </c>
      <c r="Q27" s="220">
        <f>(Q8+Q9+Q10+Q11)*Q19</f>
        <v>10298977.779999999</v>
      </c>
      <c r="S27" s="339" t="s">
        <v>501</v>
      </c>
      <c r="T27" s="339" t="s">
        <v>503</v>
      </c>
      <c r="V27" s="555" t="s">
        <v>582</v>
      </c>
      <c r="W27" s="555" t="s">
        <v>492</v>
      </c>
      <c r="Z27" s="406">
        <v>2025</v>
      </c>
      <c r="AA27" s="390" t="s">
        <v>467</v>
      </c>
      <c r="AB27" s="621">
        <v>5.2966263333333333E-2</v>
      </c>
      <c r="AC27" s="419"/>
      <c r="AD27" s="419">
        <f t="shared" ref="AD27:AD28" si="11">AB27</f>
        <v>5.2966263333333333E-2</v>
      </c>
      <c r="AE27" s="419"/>
      <c r="AF27" s="622"/>
      <c r="AG27" s="141"/>
      <c r="AH27" s="141"/>
    </row>
    <row r="28" spans="1:34" s="140" customFormat="1">
      <c r="A28" s="337" t="s">
        <v>515</v>
      </c>
      <c r="B28" s="337" t="s">
        <v>524</v>
      </c>
      <c r="C28" s="142">
        <v>2600</v>
      </c>
      <c r="D28" s="142">
        <f t="shared" si="2"/>
        <v>281.36599999999999</v>
      </c>
      <c r="E28" s="142">
        <f t="shared" ca="1" si="0"/>
        <v>315.262</v>
      </c>
      <c r="F28" s="142">
        <f t="shared" ca="1" si="3"/>
        <v>33.896000000000015</v>
      </c>
      <c r="G28" s="513">
        <f t="shared" ca="1" si="4"/>
        <v>12.046942416638833</v>
      </c>
      <c r="H28" s="142">
        <f t="shared" ca="1" si="5"/>
        <v>315.262</v>
      </c>
      <c r="I28" s="142">
        <f t="shared" ca="1" si="1"/>
        <v>344.85399999999998</v>
      </c>
      <c r="J28" s="142">
        <f t="shared" ca="1" si="6"/>
        <v>29.591999999999985</v>
      </c>
      <c r="K28" s="513">
        <f t="shared" ca="1" si="7"/>
        <v>9.3864785480013389</v>
      </c>
      <c r="L28" s="102" t="s">
        <v>406</v>
      </c>
      <c r="M28" s="90" t="s">
        <v>29</v>
      </c>
      <c r="N28" s="100" t="s">
        <v>422</v>
      </c>
      <c r="O28" s="100" t="s">
        <v>195</v>
      </c>
      <c r="P28" s="148" t="s">
        <v>196</v>
      </c>
      <c r="Q28" s="217">
        <f>Q12*Q20</f>
        <v>11359.009999999998</v>
      </c>
      <c r="S28" s="631">
        <v>50</v>
      </c>
      <c r="T28" s="400">
        <v>100</v>
      </c>
      <c r="V28" s="556">
        <f>Q25-Q26</f>
        <v>5.305E-2</v>
      </c>
      <c r="W28" s="400">
        <v>42.314263710172199</v>
      </c>
      <c r="Z28" s="406">
        <v>2025</v>
      </c>
      <c r="AA28" s="390" t="s">
        <v>468</v>
      </c>
      <c r="AB28" s="621">
        <v>4.8951005913978496E-2</v>
      </c>
      <c r="AC28" s="419"/>
      <c r="AD28" s="419">
        <f t="shared" si="11"/>
        <v>4.8951005913978496E-2</v>
      </c>
      <c r="AE28" s="419"/>
      <c r="AF28" s="622"/>
      <c r="AG28" s="141"/>
      <c r="AH28" s="141"/>
    </row>
    <row r="29" spans="1:34" s="140" customFormat="1">
      <c r="A29" s="402" t="s">
        <v>517</v>
      </c>
      <c r="B29" s="353"/>
      <c r="C29" s="353"/>
      <c r="D29" s="353"/>
      <c r="E29" s="10"/>
      <c r="F29" s="353"/>
      <c r="G29" s="523"/>
      <c r="H29" s="10"/>
      <c r="I29" s="10"/>
      <c r="J29" s="353"/>
      <c r="K29" s="526"/>
      <c r="L29" s="102" t="s">
        <v>406</v>
      </c>
      <c r="M29" s="90" t="s">
        <v>29</v>
      </c>
      <c r="N29" s="100" t="s">
        <v>422</v>
      </c>
      <c r="O29" s="100" t="s">
        <v>195</v>
      </c>
      <c r="P29" s="148" t="s">
        <v>280</v>
      </c>
      <c r="Q29" s="217">
        <f>Q13*Q21</f>
        <v>2086.5300000000002</v>
      </c>
      <c r="Z29" s="406">
        <v>2025</v>
      </c>
      <c r="AA29" s="390" t="s">
        <v>469</v>
      </c>
      <c r="AB29" s="621">
        <v>4.9907077777777781E-2</v>
      </c>
      <c r="AC29" s="419">
        <f>AB29</f>
        <v>4.9907077777777781E-2</v>
      </c>
      <c r="AD29" s="351"/>
      <c r="AE29" s="419"/>
      <c r="AF29" s="622"/>
      <c r="AG29" s="141"/>
      <c r="AH29" s="141"/>
    </row>
    <row r="30" spans="1:34" s="140" customFormat="1">
      <c r="A30" s="403" t="str">
        <f>"The average residential customer uses "&amp;TEXT(C$22,"#,###")&amp;" kilowatt hours per month"</f>
        <v>The average residential customer uses 1,200 kilowatt hours per month</v>
      </c>
      <c r="B30" s="143"/>
      <c r="C30" s="143"/>
      <c r="D30" s="143"/>
      <c r="E30" s="159"/>
      <c r="F30" s="143"/>
      <c r="G30" s="524"/>
      <c r="H30" s="159"/>
      <c r="I30" s="159"/>
      <c r="J30" s="143"/>
      <c r="K30" s="527"/>
      <c r="L30" s="102" t="s">
        <v>406</v>
      </c>
      <c r="M30" s="90" t="s">
        <v>29</v>
      </c>
      <c r="N30" s="100" t="s">
        <v>422</v>
      </c>
      <c r="O30" s="100" t="s">
        <v>195</v>
      </c>
      <c r="P30" s="101" t="s">
        <v>197</v>
      </c>
      <c r="Q30" s="217">
        <f>(Q14+Q15)*Q23</f>
        <v>59357719.602191612</v>
      </c>
      <c r="Z30" s="406">
        <v>2025</v>
      </c>
      <c r="AA30" s="390" t="s">
        <v>470</v>
      </c>
      <c r="AB30" s="621">
        <v>0.14296307204301076</v>
      </c>
      <c r="AC30" s="419">
        <f>AB30</f>
        <v>0.14296307204301076</v>
      </c>
      <c r="AD30" s="351"/>
      <c r="AE30" s="419"/>
      <c r="AF30" s="622"/>
      <c r="AG30" s="141"/>
      <c r="AH30" s="141"/>
    </row>
    <row r="31" spans="1:34" s="140" customFormat="1">
      <c r="A31" s="393" t="s">
        <v>518</v>
      </c>
      <c r="B31" s="159"/>
      <c r="C31" s="159"/>
      <c r="D31" s="159"/>
      <c r="E31" s="159"/>
      <c r="F31" s="143"/>
      <c r="G31" s="524"/>
      <c r="H31" s="159"/>
      <c r="I31" s="159"/>
      <c r="J31" s="143"/>
      <c r="K31" s="527"/>
      <c r="L31" s="102" t="s">
        <v>406</v>
      </c>
      <c r="M31" s="90" t="s">
        <v>29</v>
      </c>
      <c r="N31" s="100" t="s">
        <v>422</v>
      </c>
      <c r="O31" s="100" t="s">
        <v>195</v>
      </c>
      <c r="P31" s="101" t="s">
        <v>198</v>
      </c>
      <c r="Q31" s="217">
        <f>(Q16+Q17)*Q24</f>
        <v>100825771.75138535</v>
      </c>
      <c r="Z31" s="406">
        <v>2025</v>
      </c>
      <c r="AA31" s="390" t="s">
        <v>471</v>
      </c>
      <c r="AB31" s="621">
        <v>0.15888442150537635</v>
      </c>
      <c r="AC31" s="419">
        <f>AB31</f>
        <v>0.15888442150537635</v>
      </c>
      <c r="AD31" s="419"/>
      <c r="AE31" s="419"/>
      <c r="AF31" s="622"/>
      <c r="AG31" s="141"/>
      <c r="AH31" s="141"/>
    </row>
    <row r="32" spans="1:34" s="140" customFormat="1">
      <c r="A32" s="338" t="s">
        <v>523</v>
      </c>
      <c r="B32" s="354"/>
      <c r="C32" s="354"/>
      <c r="D32" s="354"/>
      <c r="E32" s="404"/>
      <c r="F32" s="354"/>
      <c r="G32" s="525"/>
      <c r="H32" s="404"/>
      <c r="I32" s="404"/>
      <c r="J32" s="354"/>
      <c r="K32" s="528"/>
      <c r="L32" s="102" t="s">
        <v>406</v>
      </c>
      <c r="M32" s="90" t="s">
        <v>29</v>
      </c>
      <c r="N32" s="100" t="s">
        <v>422</v>
      </c>
      <c r="O32" s="100" t="s">
        <v>195</v>
      </c>
      <c r="P32" s="101" t="s">
        <v>366</v>
      </c>
      <c r="Q32" s="217">
        <f>Q18*Q22</f>
        <v>-85106.12000000001</v>
      </c>
      <c r="R32" s="1"/>
      <c r="Z32" s="406">
        <v>2025</v>
      </c>
      <c r="AA32" s="390" t="s">
        <v>472</v>
      </c>
      <c r="AB32" s="621">
        <v>0.14421123333333336</v>
      </c>
      <c r="AC32" s="419">
        <f t="shared" ref="AC32" si="12">AB32</f>
        <v>0.14421123333333336</v>
      </c>
      <c r="AD32" s="419"/>
      <c r="AE32" s="419"/>
      <c r="AF32" s="622"/>
      <c r="AG32" s="141"/>
      <c r="AH32" s="141"/>
    </row>
    <row r="33" spans="1:34" s="140" customFormat="1">
      <c r="A33" s="350" t="s">
        <v>515</v>
      </c>
      <c r="B33" s="350" t="s">
        <v>525</v>
      </c>
      <c r="C33" s="268">
        <f t="shared" ref="C33:C53" si="13">C8</f>
        <v>0</v>
      </c>
      <c r="D33" s="268">
        <f t="shared" ref="D33:D53" si="14">Q$19+IF(C33&lt;=600,C33*Q$23,600*Q$23+(C33-600)*Q$24)</f>
        <v>7.75</v>
      </c>
      <c r="E33" s="268">
        <f t="shared" ref="E33:E53" ca="1" si="15">Q$35+IF(C33&lt;=600,C33*Q$41,600*Q$41+(C33-600)*Q$43)</f>
        <v>10</v>
      </c>
      <c r="F33" s="268">
        <f t="shared" ref="F33:F53" ca="1" si="16">E33-D33</f>
        <v>2.25</v>
      </c>
      <c r="G33" s="517">
        <f t="shared" ref="G33:G53" ca="1" si="17">F33/D33*100</f>
        <v>29.032258064516132</v>
      </c>
      <c r="H33" s="268">
        <f t="shared" ref="H33:H53" ca="1" si="18">E33</f>
        <v>10</v>
      </c>
      <c r="I33" s="268">
        <f t="shared" ref="I33:I53" ca="1" si="19">Q$59+IF(C33&lt;=600,C33*Q$65,600*Q$65+(C33-600)*Q$67)</f>
        <v>10</v>
      </c>
      <c r="J33" s="268">
        <f t="shared" ref="J33:J53" ca="1" si="20">I33-H33</f>
        <v>0</v>
      </c>
      <c r="K33" s="517">
        <f t="shared" ref="K33:K53" ca="1" si="21">J33/H33*100</f>
        <v>0</v>
      </c>
      <c r="L33" s="150" t="s">
        <v>406</v>
      </c>
      <c r="M33" s="265" t="s">
        <v>29</v>
      </c>
      <c r="N33" s="152" t="s">
        <v>422</v>
      </c>
      <c r="O33" s="152" t="s">
        <v>195</v>
      </c>
      <c r="P33" s="265" t="s">
        <v>168</v>
      </c>
      <c r="Q33" s="218">
        <f>Unbilled!E4</f>
        <v>5660946.3060093932</v>
      </c>
      <c r="R33" s="1"/>
      <c r="Z33" s="406">
        <v>2025</v>
      </c>
      <c r="AA33" s="390" t="s">
        <v>473</v>
      </c>
      <c r="AB33" s="621">
        <v>7.4730941935483866E-2</v>
      </c>
      <c r="AC33" s="351"/>
      <c r="AD33" s="419">
        <f>AB33</f>
        <v>7.4730941935483866E-2</v>
      </c>
      <c r="AE33" s="419"/>
      <c r="AF33" s="622"/>
      <c r="AG33" s="436"/>
      <c r="AH33" s="436"/>
    </row>
    <row r="34" spans="1:34">
      <c r="A34" s="227" t="s">
        <v>515</v>
      </c>
      <c r="B34" s="227" t="s">
        <v>525</v>
      </c>
      <c r="C34" s="141">
        <f t="shared" si="13"/>
        <v>50</v>
      </c>
      <c r="D34" s="141">
        <f t="shared" si="14"/>
        <v>11.888</v>
      </c>
      <c r="E34" s="141">
        <f t="shared" ca="1" si="15"/>
        <v>14.827999999999999</v>
      </c>
      <c r="F34" s="141">
        <f t="shared" ca="1" si="16"/>
        <v>2.9399999999999995</v>
      </c>
      <c r="G34" s="512">
        <f t="shared" ca="1" si="17"/>
        <v>24.730820995962311</v>
      </c>
      <c r="H34" s="141">
        <f t="shared" ca="1" si="18"/>
        <v>14.827999999999999</v>
      </c>
      <c r="I34" s="141">
        <f t="shared" ca="1" si="19"/>
        <v>15.478999999999999</v>
      </c>
      <c r="J34" s="141">
        <f t="shared" ca="1" si="20"/>
        <v>0.6509999999999998</v>
      </c>
      <c r="K34" s="512">
        <f t="shared" ca="1" si="21"/>
        <v>4.3903425950903685</v>
      </c>
      <c r="L34" s="336" t="s">
        <v>532</v>
      </c>
      <c r="M34" s="444" t="s">
        <v>29</v>
      </c>
      <c r="N34" s="229" t="s">
        <v>422</v>
      </c>
      <c r="O34" s="233" t="s">
        <v>195</v>
      </c>
      <c r="P34" s="233" t="s">
        <v>195</v>
      </c>
      <c r="Q34" s="235">
        <f ca="1">'Cost of Service and Proposed $'!L128</f>
        <v>190936644.49349293</v>
      </c>
      <c r="Z34" s="406">
        <v>2025</v>
      </c>
      <c r="AA34" s="390" t="s">
        <v>474</v>
      </c>
      <c r="AB34" s="621">
        <v>8.1246862968099867E-2</v>
      </c>
      <c r="AC34" s="351"/>
      <c r="AD34" s="419">
        <f>AB34</f>
        <v>8.1246862968099867E-2</v>
      </c>
      <c r="AE34" s="419"/>
      <c r="AF34" s="622"/>
      <c r="AG34" s="436"/>
      <c r="AH34" s="436"/>
    </row>
    <row r="35" spans="1:34">
      <c r="A35" s="227" t="s">
        <v>515</v>
      </c>
      <c r="B35" s="227" t="s">
        <v>525</v>
      </c>
      <c r="C35" s="141">
        <f t="shared" si="13"/>
        <v>100</v>
      </c>
      <c r="D35" s="141">
        <f t="shared" si="14"/>
        <v>16.026</v>
      </c>
      <c r="E35" s="141">
        <f t="shared" ca="1" si="15"/>
        <v>19.655999999999999</v>
      </c>
      <c r="F35" s="141">
        <f t="shared" ca="1" si="16"/>
        <v>3.629999999999999</v>
      </c>
      <c r="G35" s="512">
        <f t="shared" ca="1" si="17"/>
        <v>22.650692624485206</v>
      </c>
      <c r="H35" s="141">
        <f t="shared" ca="1" si="18"/>
        <v>19.655999999999999</v>
      </c>
      <c r="I35" s="141">
        <f t="shared" ca="1" si="19"/>
        <v>20.957999999999998</v>
      </c>
      <c r="J35" s="141">
        <f t="shared" ca="1" si="20"/>
        <v>1.3019999999999996</v>
      </c>
      <c r="K35" s="512">
        <f t="shared" ca="1" si="21"/>
        <v>6.6239316239316226</v>
      </c>
      <c r="L35" s="219" t="s">
        <v>505</v>
      </c>
      <c r="M35" s="628" t="s">
        <v>403</v>
      </c>
      <c r="N35" s="145" t="s">
        <v>424</v>
      </c>
      <c r="O35" s="144" t="s">
        <v>199</v>
      </c>
      <c r="P35" s="144" t="s">
        <v>419</v>
      </c>
      <c r="Q35" s="425">
        <f>T35</f>
        <v>10</v>
      </c>
      <c r="T35" s="398">
        <v>10</v>
      </c>
      <c r="U35" s="140">
        <f>Q$8*T35+Q$9*T36+Q$10*T37+Q$11*T38</f>
        <v>12726765.491197653</v>
      </c>
      <c r="Z35" s="407">
        <v>2025</v>
      </c>
      <c r="AA35" s="450" t="s">
        <v>475</v>
      </c>
      <c r="AB35" s="626">
        <v>9.530004784946236E-2</v>
      </c>
      <c r="AC35" s="423"/>
      <c r="AD35" s="423">
        <f>AB35</f>
        <v>9.530004784946236E-2</v>
      </c>
      <c r="AE35" s="423"/>
      <c r="AF35" s="627"/>
      <c r="AG35" s="541"/>
      <c r="AH35" s="541"/>
    </row>
    <row r="36" spans="1:34">
      <c r="A36" s="227" t="s">
        <v>515</v>
      </c>
      <c r="B36" s="227" t="s">
        <v>525</v>
      </c>
      <c r="C36" s="141">
        <f t="shared" si="13"/>
        <v>150</v>
      </c>
      <c r="D36" s="141">
        <f t="shared" si="14"/>
        <v>20.164000000000001</v>
      </c>
      <c r="E36" s="141">
        <f t="shared" ca="1" si="15"/>
        <v>24.484000000000002</v>
      </c>
      <c r="F36" s="141">
        <f t="shared" ca="1" si="16"/>
        <v>4.32</v>
      </c>
      <c r="G36" s="512">
        <f t="shared" ca="1" si="17"/>
        <v>21.424320571315214</v>
      </c>
      <c r="H36" s="141">
        <f t="shared" ca="1" si="18"/>
        <v>24.484000000000002</v>
      </c>
      <c r="I36" s="141">
        <f t="shared" ca="1" si="19"/>
        <v>26.437000000000001</v>
      </c>
      <c r="J36" s="141">
        <f t="shared" ca="1" si="20"/>
        <v>1.9529999999999994</v>
      </c>
      <c r="K36" s="512">
        <f t="shared" ca="1" si="21"/>
        <v>7.9766378042803439</v>
      </c>
      <c r="L36" s="215" t="s">
        <v>505</v>
      </c>
      <c r="M36" s="390" t="s">
        <v>403</v>
      </c>
      <c r="N36" s="102" t="s">
        <v>424</v>
      </c>
      <c r="O36" s="100" t="s">
        <v>199</v>
      </c>
      <c r="P36" s="100" t="s">
        <v>420</v>
      </c>
      <c r="Q36" s="420">
        <f>T36</f>
        <v>7.75</v>
      </c>
      <c r="T36" s="398">
        <v>7.75</v>
      </c>
      <c r="U36" s="140"/>
      <c r="Z36" s="405">
        <v>2026</v>
      </c>
      <c r="AA36" s="628" t="s">
        <v>464</v>
      </c>
      <c r="AB36" s="629">
        <v>0.10045117849462366</v>
      </c>
      <c r="AC36" s="422"/>
      <c r="AD36" s="422">
        <f t="shared" ref="AD36:AD37" si="22">AB36</f>
        <v>0.10045117849462366</v>
      </c>
      <c r="AE36" s="422"/>
      <c r="AF36" s="630"/>
      <c r="AG36" s="437"/>
      <c r="AH36" s="437"/>
    </row>
    <row r="37" spans="1:34">
      <c r="A37" s="227" t="s">
        <v>515</v>
      </c>
      <c r="B37" s="227" t="s">
        <v>525</v>
      </c>
      <c r="C37" s="141">
        <f t="shared" si="13"/>
        <v>200</v>
      </c>
      <c r="D37" s="141">
        <f t="shared" si="14"/>
        <v>24.302</v>
      </c>
      <c r="E37" s="141">
        <f t="shared" ca="1" si="15"/>
        <v>29.312000000000001</v>
      </c>
      <c r="F37" s="141">
        <f t="shared" ca="1" si="16"/>
        <v>5.0100000000000016</v>
      </c>
      <c r="G37" s="512">
        <f t="shared" ca="1" si="17"/>
        <v>20.615587194469597</v>
      </c>
      <c r="H37" s="141">
        <f t="shared" ca="1" si="18"/>
        <v>29.312000000000001</v>
      </c>
      <c r="I37" s="141">
        <f t="shared" ca="1" si="19"/>
        <v>31.916</v>
      </c>
      <c r="J37" s="141">
        <f t="shared" ca="1" si="20"/>
        <v>2.6039999999999992</v>
      </c>
      <c r="K37" s="512">
        <f t="shared" ca="1" si="21"/>
        <v>8.8837336244541465</v>
      </c>
      <c r="L37" s="215" t="s">
        <v>505</v>
      </c>
      <c r="M37" s="390" t="s">
        <v>403</v>
      </c>
      <c r="N37" s="102" t="s">
        <v>424</v>
      </c>
      <c r="O37" s="100" t="s">
        <v>200</v>
      </c>
      <c r="P37" s="100" t="s">
        <v>419</v>
      </c>
      <c r="Q37" s="420">
        <f>T37</f>
        <v>18</v>
      </c>
      <c r="T37" s="312">
        <f>T35+U16</f>
        <v>18</v>
      </c>
      <c r="U37" s="140"/>
      <c r="Z37" s="406">
        <v>2026</v>
      </c>
      <c r="AA37" s="390" t="s">
        <v>465</v>
      </c>
      <c r="AB37" s="626">
        <v>8.4458228571428567E-2</v>
      </c>
      <c r="AC37" s="423"/>
      <c r="AD37" s="423">
        <f t="shared" si="22"/>
        <v>8.4458228571428567E-2</v>
      </c>
      <c r="AE37" s="423"/>
      <c r="AF37" s="627"/>
      <c r="AG37" s="541"/>
      <c r="AH37" s="541"/>
    </row>
    <row r="38" spans="1:34">
      <c r="A38" s="227" t="s">
        <v>515</v>
      </c>
      <c r="B38" s="227" t="s">
        <v>525</v>
      </c>
      <c r="C38" s="141">
        <f t="shared" si="13"/>
        <v>300</v>
      </c>
      <c r="D38" s="141">
        <f t="shared" si="14"/>
        <v>32.578000000000003</v>
      </c>
      <c r="E38" s="141">
        <f t="shared" ca="1" si="15"/>
        <v>38.968000000000004</v>
      </c>
      <c r="F38" s="141">
        <f t="shared" ca="1" si="16"/>
        <v>6.3900000000000006</v>
      </c>
      <c r="G38" s="512">
        <f t="shared" ca="1" si="17"/>
        <v>19.614463748541962</v>
      </c>
      <c r="H38" s="141">
        <f t="shared" ca="1" si="18"/>
        <v>38.968000000000004</v>
      </c>
      <c r="I38" s="141">
        <f t="shared" ca="1" si="19"/>
        <v>42.874000000000002</v>
      </c>
      <c r="J38" s="141">
        <f t="shared" ca="1" si="20"/>
        <v>3.9059999999999988</v>
      </c>
      <c r="K38" s="512">
        <f t="shared" ca="1" si="21"/>
        <v>10.023609115171418</v>
      </c>
      <c r="L38" s="215" t="s">
        <v>505</v>
      </c>
      <c r="M38" s="390" t="s">
        <v>403</v>
      </c>
      <c r="N38" s="102" t="s">
        <v>424</v>
      </c>
      <c r="O38" s="100" t="s">
        <v>200</v>
      </c>
      <c r="P38" s="100" t="s">
        <v>420</v>
      </c>
      <c r="Q38" s="420">
        <f>T38</f>
        <v>15.75</v>
      </c>
      <c r="T38" s="312">
        <f>T36+U16</f>
        <v>15.75</v>
      </c>
      <c r="U38" s="140"/>
      <c r="Z38" s="632" t="s">
        <v>476</v>
      </c>
      <c r="AA38" s="438"/>
      <c r="AB38" s="277">
        <f>AVERAGE(AB14:AB37)</f>
        <v>9.4839908776440385E-2</v>
      </c>
      <c r="AC38" s="423">
        <f>AVERAGE(AC14:AC37)</f>
        <v>0.12045603956810036</v>
      </c>
      <c r="AD38" s="423">
        <f>AVERAGE(AD14:AD37)</f>
        <v>8.2031843380610397E-2</v>
      </c>
      <c r="AE38" s="423">
        <f>AC38-AD38</f>
        <v>3.8424196187489962E-2</v>
      </c>
      <c r="AF38" s="627">
        <f>50%*AE38</f>
        <v>1.9212098093744981E-2</v>
      </c>
      <c r="AG38" s="627">
        <f>AF38*AG39</f>
        <v>9.6060490468724904E-3</v>
      </c>
      <c r="AH38" s="423">
        <f>AF38*AH39</f>
        <v>1.9212098093744981E-2</v>
      </c>
    </row>
    <row r="39" spans="1:34">
      <c r="A39" s="227" t="s">
        <v>515</v>
      </c>
      <c r="B39" s="227" t="s">
        <v>525</v>
      </c>
      <c r="C39" s="141">
        <f t="shared" si="13"/>
        <v>400</v>
      </c>
      <c r="D39" s="141">
        <f t="shared" si="14"/>
        <v>40.853999999999999</v>
      </c>
      <c r="E39" s="141">
        <f t="shared" ca="1" si="15"/>
        <v>48.624000000000002</v>
      </c>
      <c r="F39" s="141">
        <f t="shared" ca="1" si="16"/>
        <v>7.7700000000000031</v>
      </c>
      <c r="G39" s="512">
        <f t="shared" ca="1" si="17"/>
        <v>19.018945513291243</v>
      </c>
      <c r="H39" s="141">
        <f t="shared" ca="1" si="18"/>
        <v>48.624000000000002</v>
      </c>
      <c r="I39" s="141">
        <f t="shared" ca="1" si="19"/>
        <v>53.832000000000001</v>
      </c>
      <c r="J39" s="141">
        <f t="shared" ca="1" si="20"/>
        <v>5.2079999999999984</v>
      </c>
      <c r="K39" s="512">
        <f t="shared" ca="1" si="21"/>
        <v>10.710760118460016</v>
      </c>
      <c r="L39" s="215" t="s">
        <v>505</v>
      </c>
      <c r="M39" s="390" t="s">
        <v>403</v>
      </c>
      <c r="N39" s="102" t="s">
        <v>424</v>
      </c>
      <c r="O39" s="100" t="s">
        <v>195</v>
      </c>
      <c r="P39" s="417" t="s">
        <v>366</v>
      </c>
      <c r="Q39" s="420">
        <f>T39</f>
        <v>-0.25</v>
      </c>
      <c r="R39" s="639"/>
      <c r="T39" s="312">
        <f>Q22</f>
        <v>-0.25</v>
      </c>
      <c r="AG39" s="559">
        <v>0.5</v>
      </c>
      <c r="AH39" s="559">
        <v>1</v>
      </c>
    </row>
    <row r="40" spans="1:34">
      <c r="A40" s="337" t="s">
        <v>515</v>
      </c>
      <c r="B40" s="337" t="s">
        <v>525</v>
      </c>
      <c r="C40" s="142">
        <f t="shared" si="13"/>
        <v>500</v>
      </c>
      <c r="D40" s="142">
        <f t="shared" si="14"/>
        <v>49.13</v>
      </c>
      <c r="E40" s="142">
        <f t="shared" ca="1" si="15"/>
        <v>58.28</v>
      </c>
      <c r="F40" s="142">
        <f t="shared" ca="1" si="16"/>
        <v>9.1499999999999986</v>
      </c>
      <c r="G40" s="513">
        <f t="shared" ca="1" si="17"/>
        <v>18.624058619987785</v>
      </c>
      <c r="H40" s="142">
        <f t="shared" ca="1" si="18"/>
        <v>58.28</v>
      </c>
      <c r="I40" s="142">
        <f t="shared" ca="1" si="19"/>
        <v>64.789999999999992</v>
      </c>
      <c r="J40" s="142">
        <f t="shared" ca="1" si="20"/>
        <v>6.5099999999999909</v>
      </c>
      <c r="K40" s="513">
        <f t="shared" ca="1" si="21"/>
        <v>11.17021276595743</v>
      </c>
      <c r="L40" s="215" t="s">
        <v>505</v>
      </c>
      <c r="M40" s="390" t="s">
        <v>403</v>
      </c>
      <c r="N40" s="215" t="s">
        <v>334</v>
      </c>
      <c r="O40" s="215" t="s">
        <v>195</v>
      </c>
      <c r="P40" s="417" t="s">
        <v>396</v>
      </c>
      <c r="Q40" s="324">
        <f ca="1">ROUND(R40/100*U40/V40+W40+X40,S40)</f>
        <v>0.10617</v>
      </c>
      <c r="R40" s="640">
        <f>100+Summary!$Q$8</f>
        <v>100.71</v>
      </c>
      <c r="S40" s="140">
        <v>5</v>
      </c>
      <c r="T40" s="311">
        <f ca="1">U40/V40+W40+X40</f>
        <v>0.10540745018953482</v>
      </c>
      <c r="U40" s="4">
        <f t="shared" ref="U40:U47" ca="1" si="23">Q$34-U$35-Q$32-Q$33</f>
        <v>172634038.81628591</v>
      </c>
      <c r="V40" s="4">
        <f t="shared" ref="V40:V47" si="24">Q$14+Q$15+Q$16+Q$17</f>
        <v>1617618047.084254</v>
      </c>
      <c r="W40" s="312">
        <f>AG38*(Q15+Q17)/(Q14+Q15+Q16+Q17)</f>
        <v>6.8184611415303712E-3</v>
      </c>
      <c r="X40" s="278">
        <f>-(Q16+Q17)*(Q24-Q23)/(Q14+Q15+Q16+Q17)*(100-S28)/100</f>
        <v>-8.1321489409402429E-3</v>
      </c>
    </row>
    <row r="41" spans="1:34">
      <c r="A41" s="227" t="s">
        <v>515</v>
      </c>
      <c r="B41" s="227" t="s">
        <v>525</v>
      </c>
      <c r="C41" s="141">
        <f t="shared" si="13"/>
        <v>600</v>
      </c>
      <c r="D41" s="141">
        <f t="shared" si="14"/>
        <v>57.405999999999999</v>
      </c>
      <c r="E41" s="141">
        <f t="shared" ca="1" si="15"/>
        <v>67.936000000000007</v>
      </c>
      <c r="F41" s="141">
        <f t="shared" ca="1" si="16"/>
        <v>10.530000000000008</v>
      </c>
      <c r="G41" s="512">
        <f t="shared" ca="1" si="17"/>
        <v>18.343030345260093</v>
      </c>
      <c r="H41" s="141">
        <f t="shared" ca="1" si="18"/>
        <v>67.936000000000007</v>
      </c>
      <c r="I41" s="141">
        <f t="shared" ca="1" si="19"/>
        <v>75.748000000000005</v>
      </c>
      <c r="J41" s="141">
        <f t="shared" ca="1" si="20"/>
        <v>7.8119999999999976</v>
      </c>
      <c r="K41" s="512">
        <f t="shared" ca="1" si="21"/>
        <v>11.499057936881767</v>
      </c>
      <c r="L41" s="215" t="s">
        <v>505</v>
      </c>
      <c r="M41" s="390" t="s">
        <v>403</v>
      </c>
      <c r="N41" s="215" t="s">
        <v>334</v>
      </c>
      <c r="O41" s="215" t="s">
        <v>195</v>
      </c>
      <c r="P41" s="417" t="s">
        <v>394</v>
      </c>
      <c r="Q41" s="324">
        <f t="shared" ref="Q41:Q47" ca="1" si="25">ROUND(R41/100*U41/V41+W41+X41,S41)</f>
        <v>9.6560000000000007E-2</v>
      </c>
      <c r="R41" s="640">
        <f>100+Summary!$Q$8</f>
        <v>100.71</v>
      </c>
      <c r="S41" s="140">
        <v>5</v>
      </c>
      <c r="T41" s="311">
        <f t="shared" ref="T41:T47" ca="1" si="26">U41/V41+W41+X41</f>
        <v>9.5801401142662335E-2</v>
      </c>
      <c r="U41" s="4">
        <f t="shared" ca="1" si="23"/>
        <v>172634038.81628591</v>
      </c>
      <c r="V41" s="4">
        <f t="shared" si="24"/>
        <v>1617618047.084254</v>
      </c>
      <c r="W41" s="312">
        <f>-AG38*(Q14+Q16)/(Q14+Q15+Q16+Q17)</f>
        <v>-2.7875879053421192E-3</v>
      </c>
      <c r="X41" s="278">
        <f>-(Q16+Q17)*(Q24-Q23)/(Q14+Q15+Q16+Q17)*(100-S28)/100</f>
        <v>-8.1321489409402429E-3</v>
      </c>
      <c r="Y41" s="311">
        <f ca="1">R41/100*U41/V41+X41</f>
        <v>9.9346709127725946E-2</v>
      </c>
    </row>
    <row r="42" spans="1:34">
      <c r="A42" s="227" t="s">
        <v>515</v>
      </c>
      <c r="B42" s="227" t="s">
        <v>525</v>
      </c>
      <c r="C42" s="141">
        <f t="shared" si="13"/>
        <v>700</v>
      </c>
      <c r="D42" s="141">
        <f t="shared" si="14"/>
        <v>68.603999999999999</v>
      </c>
      <c r="E42" s="141">
        <f t="shared" ca="1" si="15"/>
        <v>79.053000000000011</v>
      </c>
      <c r="F42" s="141">
        <f t="shared" ca="1" si="16"/>
        <v>10.449000000000012</v>
      </c>
      <c r="G42" s="512">
        <f t="shared" ca="1" si="17"/>
        <v>15.230890327094649</v>
      </c>
      <c r="H42" s="141">
        <f t="shared" ca="1" si="18"/>
        <v>79.053000000000011</v>
      </c>
      <c r="I42" s="141">
        <f t="shared" ca="1" si="19"/>
        <v>86.706000000000003</v>
      </c>
      <c r="J42" s="141">
        <f t="shared" ca="1" si="20"/>
        <v>7.6529999999999916</v>
      </c>
      <c r="K42" s="512">
        <f t="shared" ca="1" si="21"/>
        <v>9.6808470266782916</v>
      </c>
      <c r="L42" s="215" t="s">
        <v>505</v>
      </c>
      <c r="M42" s="390" t="s">
        <v>403</v>
      </c>
      <c r="N42" s="215" t="s">
        <v>334</v>
      </c>
      <c r="O42" s="215" t="s">
        <v>195</v>
      </c>
      <c r="P42" s="417" t="s">
        <v>397</v>
      </c>
      <c r="Q42" s="324">
        <f t="shared" ca="1" si="25"/>
        <v>0.12078</v>
      </c>
      <c r="R42" s="640">
        <f>100+Summary!$Q$8</f>
        <v>100.71</v>
      </c>
      <c r="S42" s="140">
        <v>5</v>
      </c>
      <c r="T42" s="311">
        <f t="shared" ca="1" si="26"/>
        <v>0.12001745018953482</v>
      </c>
      <c r="U42" s="4">
        <f t="shared" ca="1" si="23"/>
        <v>172634038.81628591</v>
      </c>
      <c r="V42" s="4">
        <f t="shared" si="24"/>
        <v>1617618047.084254</v>
      </c>
      <c r="W42" s="312">
        <f>AG38*(Q15+Q17)/(Q14+Q15+Q16+Q17)</f>
        <v>6.8184611415303712E-3</v>
      </c>
      <c r="X42" s="278">
        <f>(Q14+Q15)*(Q24-Q23)/(Q14+Q15+Q16+Q17)*(100-S28)/100</f>
        <v>6.4778510590597551E-3</v>
      </c>
      <c r="Y42" s="311"/>
    </row>
    <row r="43" spans="1:34">
      <c r="A43" s="227" t="s">
        <v>515</v>
      </c>
      <c r="B43" s="227" t="s">
        <v>525</v>
      </c>
      <c r="C43" s="141">
        <f t="shared" si="13"/>
        <v>800</v>
      </c>
      <c r="D43" s="141">
        <f t="shared" si="14"/>
        <v>79.801999999999992</v>
      </c>
      <c r="E43" s="141">
        <f t="shared" ca="1" si="15"/>
        <v>90.170000000000016</v>
      </c>
      <c r="F43" s="141">
        <f t="shared" ca="1" si="16"/>
        <v>10.368000000000023</v>
      </c>
      <c r="G43" s="512">
        <f t="shared" ca="1" si="17"/>
        <v>12.992155585073087</v>
      </c>
      <c r="H43" s="141">
        <f t="shared" ca="1" si="18"/>
        <v>90.170000000000016</v>
      </c>
      <c r="I43" s="141">
        <f t="shared" ca="1" si="19"/>
        <v>97.664000000000001</v>
      </c>
      <c r="J43" s="141">
        <f t="shared" ca="1" si="20"/>
        <v>7.4939999999999856</v>
      </c>
      <c r="K43" s="512">
        <f t="shared" ca="1" si="21"/>
        <v>8.3109681712320995</v>
      </c>
      <c r="L43" s="215" t="s">
        <v>505</v>
      </c>
      <c r="M43" s="390" t="s">
        <v>403</v>
      </c>
      <c r="N43" s="215" t="s">
        <v>334</v>
      </c>
      <c r="O43" s="215" t="s">
        <v>195</v>
      </c>
      <c r="P43" s="417" t="s">
        <v>395</v>
      </c>
      <c r="Q43" s="324">
        <f t="shared" ca="1" si="25"/>
        <v>0.11117</v>
      </c>
      <c r="R43" s="640">
        <f>100+Summary!$Q$8</f>
        <v>100.71</v>
      </c>
      <c r="S43" s="140">
        <v>5</v>
      </c>
      <c r="T43" s="311">
        <f t="shared" ca="1" si="26"/>
        <v>0.11041140114266233</v>
      </c>
      <c r="U43" s="4">
        <f t="shared" ca="1" si="23"/>
        <v>172634038.81628591</v>
      </c>
      <c r="V43" s="4">
        <f t="shared" si="24"/>
        <v>1617618047.084254</v>
      </c>
      <c r="W43" s="312">
        <f>-AG38*(Q14+Q16)/(Q14+Q15+Q16+Q17)</f>
        <v>-2.7875879053421192E-3</v>
      </c>
      <c r="X43" s="278">
        <f>(Q14+Q15)*(Q24-Q23)/(Q14+Q15+Q16+Q17)*(100-S28)/100</f>
        <v>6.4778510590597551E-3</v>
      </c>
      <c r="Y43" s="311">
        <f ca="1">R43/100*U43/V43+X43</f>
        <v>0.11395670912772594</v>
      </c>
    </row>
    <row r="44" spans="1:34">
      <c r="A44" s="227" t="s">
        <v>515</v>
      </c>
      <c r="B44" s="227" t="s">
        <v>525</v>
      </c>
      <c r="C44" s="141">
        <f t="shared" si="13"/>
        <v>900</v>
      </c>
      <c r="D44" s="141">
        <f t="shared" si="14"/>
        <v>91</v>
      </c>
      <c r="E44" s="141">
        <f t="shared" ca="1" si="15"/>
        <v>101.28700000000001</v>
      </c>
      <c r="F44" s="141">
        <f t="shared" ca="1" si="16"/>
        <v>10.287000000000006</v>
      </c>
      <c r="G44" s="512">
        <f t="shared" ca="1" si="17"/>
        <v>11.304395604395612</v>
      </c>
      <c r="H44" s="141">
        <f t="shared" ca="1" si="18"/>
        <v>101.28700000000001</v>
      </c>
      <c r="I44" s="141">
        <f t="shared" ca="1" si="19"/>
        <v>108.62200000000001</v>
      </c>
      <c r="J44" s="141">
        <f t="shared" ca="1" si="20"/>
        <v>7.335000000000008</v>
      </c>
      <c r="K44" s="512">
        <f t="shared" ca="1" si="21"/>
        <v>7.2417980589809234</v>
      </c>
      <c r="L44" s="215" t="s">
        <v>505</v>
      </c>
      <c r="M44" s="390" t="s">
        <v>403</v>
      </c>
      <c r="N44" s="215" t="s">
        <v>425</v>
      </c>
      <c r="O44" s="215" t="s">
        <v>195</v>
      </c>
      <c r="P44" s="417" t="s">
        <v>477</v>
      </c>
      <c r="Q44" s="324">
        <f t="shared" ca="1" si="25"/>
        <v>0.1449</v>
      </c>
      <c r="R44" s="640">
        <f>100+Summary!$Q$8</f>
        <v>100.71</v>
      </c>
      <c r="S44" s="140">
        <v>5</v>
      </c>
      <c r="T44" s="311">
        <f t="shared" ca="1" si="26"/>
        <v>0.14413959913047505</v>
      </c>
      <c r="U44" s="4">
        <f t="shared" ca="1" si="23"/>
        <v>172634038.81628591</v>
      </c>
      <c r="V44" s="4">
        <f t="shared" si="24"/>
        <v>1617618047.084254</v>
      </c>
      <c r="W44" s="312">
        <f>AG38*(Q15+Q17)/(Q14+Q15+Q16+Q17)</f>
        <v>6.8184611415303712E-3</v>
      </c>
      <c r="X44" s="454">
        <f>ROUND(V28*(1-W28/100),5)</f>
        <v>3.0599999999999999E-2</v>
      </c>
    </row>
    <row r="45" spans="1:34">
      <c r="A45" s="227" t="s">
        <v>515</v>
      </c>
      <c r="B45" s="227" t="s">
        <v>525</v>
      </c>
      <c r="C45" s="141">
        <f t="shared" si="13"/>
        <v>1000</v>
      </c>
      <c r="D45" s="141">
        <f t="shared" si="14"/>
        <v>102.19800000000001</v>
      </c>
      <c r="E45" s="141">
        <f t="shared" ca="1" si="15"/>
        <v>112.40400000000001</v>
      </c>
      <c r="F45" s="141">
        <f t="shared" ca="1" si="16"/>
        <v>10.206000000000003</v>
      </c>
      <c r="G45" s="512">
        <f t="shared" ca="1" si="17"/>
        <v>9.9864968003287764</v>
      </c>
      <c r="H45" s="141">
        <f t="shared" ca="1" si="18"/>
        <v>112.40400000000001</v>
      </c>
      <c r="I45" s="141">
        <f t="shared" ca="1" si="19"/>
        <v>119.58000000000001</v>
      </c>
      <c r="J45" s="141">
        <f t="shared" ca="1" si="20"/>
        <v>7.1760000000000019</v>
      </c>
      <c r="K45" s="512">
        <f t="shared" ca="1" si="21"/>
        <v>6.3841144443258253</v>
      </c>
      <c r="L45" s="215" t="s">
        <v>505</v>
      </c>
      <c r="M45" s="390" t="s">
        <v>403</v>
      </c>
      <c r="N45" s="215" t="s">
        <v>425</v>
      </c>
      <c r="O45" s="215" t="s">
        <v>195</v>
      </c>
      <c r="P45" s="417" t="s">
        <v>478</v>
      </c>
      <c r="Q45" s="324">
        <f t="shared" ca="1" si="25"/>
        <v>0.13528999999999999</v>
      </c>
      <c r="R45" s="640">
        <f>100+Summary!$Q$8</f>
        <v>100.71</v>
      </c>
      <c r="S45" s="140">
        <v>5</v>
      </c>
      <c r="T45" s="311">
        <f t="shared" ca="1" si="26"/>
        <v>0.13453355008360257</v>
      </c>
      <c r="U45" s="4">
        <f t="shared" ca="1" si="23"/>
        <v>172634038.81628591</v>
      </c>
      <c r="V45" s="4">
        <f t="shared" si="24"/>
        <v>1617618047.084254</v>
      </c>
      <c r="W45" s="312">
        <f>-AG38*(Q14+Q16)/(Q14+Q15+Q16+Q17)</f>
        <v>-2.7875879053421192E-3</v>
      </c>
      <c r="X45" s="454">
        <f>ROUND(V28*(1-W28/100),5)</f>
        <v>3.0599999999999999E-2</v>
      </c>
    </row>
    <row r="46" spans="1:34">
      <c r="A46" s="227" t="s">
        <v>515</v>
      </c>
      <c r="B46" s="227" t="s">
        <v>525</v>
      </c>
      <c r="C46" s="141">
        <f t="shared" si="13"/>
        <v>1100</v>
      </c>
      <c r="D46" s="141">
        <f t="shared" si="14"/>
        <v>113.39599999999999</v>
      </c>
      <c r="E46" s="141">
        <f t="shared" ca="1" si="15"/>
        <v>123.52100000000002</v>
      </c>
      <c r="F46" s="141">
        <f t="shared" ca="1" si="16"/>
        <v>10.125000000000028</v>
      </c>
      <c r="G46" s="512">
        <f t="shared" ca="1" si="17"/>
        <v>8.9288863804720009</v>
      </c>
      <c r="H46" s="141">
        <f t="shared" ca="1" si="18"/>
        <v>123.52100000000002</v>
      </c>
      <c r="I46" s="141">
        <f t="shared" ca="1" si="19"/>
        <v>130.53800000000001</v>
      </c>
      <c r="J46" s="141">
        <f t="shared" ca="1" si="20"/>
        <v>7.0169999999999959</v>
      </c>
      <c r="K46" s="512">
        <f t="shared" ca="1" si="21"/>
        <v>5.6808154079063433</v>
      </c>
      <c r="L46" s="215" t="s">
        <v>505</v>
      </c>
      <c r="M46" s="390" t="s">
        <v>403</v>
      </c>
      <c r="N46" s="215" t="s">
        <v>425</v>
      </c>
      <c r="O46" s="215" t="s">
        <v>195</v>
      </c>
      <c r="P46" s="417" t="s">
        <v>479</v>
      </c>
      <c r="Q46" s="324">
        <f t="shared" ca="1" si="25"/>
        <v>9.1850000000000001E-2</v>
      </c>
      <c r="R46" s="640">
        <f>100+Summary!$Q$8</f>
        <v>100.71</v>
      </c>
      <c r="S46" s="140">
        <v>5</v>
      </c>
      <c r="T46" s="311">
        <f t="shared" ca="1" si="26"/>
        <v>9.1089599130475069E-2</v>
      </c>
      <c r="U46" s="4">
        <f t="shared" ca="1" si="23"/>
        <v>172634038.81628591</v>
      </c>
      <c r="V46" s="4">
        <f t="shared" si="24"/>
        <v>1617618047.084254</v>
      </c>
      <c r="W46" s="312">
        <f>AG38*(Q15+Q17)/(Q14+Q15+Q16+Q17)</f>
        <v>6.8184611415303712E-3</v>
      </c>
      <c r="X46" s="454">
        <f>ROUND(-V28*W28/100,5)</f>
        <v>-2.2450000000000001E-2</v>
      </c>
    </row>
    <row r="47" spans="1:34">
      <c r="A47" s="336" t="s">
        <v>515</v>
      </c>
      <c r="B47" s="336" t="s">
        <v>525</v>
      </c>
      <c r="C47" s="340">
        <f t="shared" si="13"/>
        <v>1200</v>
      </c>
      <c r="D47" s="340">
        <f t="shared" si="14"/>
        <v>124.59399999999999</v>
      </c>
      <c r="E47" s="340">
        <f t="shared" ca="1" si="15"/>
        <v>134.63800000000001</v>
      </c>
      <c r="F47" s="340">
        <f t="shared" ca="1" si="16"/>
        <v>10.044000000000011</v>
      </c>
      <c r="G47" s="514">
        <f t="shared" ca="1" si="17"/>
        <v>8.0613833731961506</v>
      </c>
      <c r="H47" s="340">
        <f t="shared" ca="1" si="18"/>
        <v>134.63800000000001</v>
      </c>
      <c r="I47" s="340">
        <f t="shared" ca="1" si="19"/>
        <v>141.49600000000001</v>
      </c>
      <c r="J47" s="340">
        <f t="shared" ca="1" si="20"/>
        <v>6.8580000000000041</v>
      </c>
      <c r="K47" s="514">
        <f t="shared" ca="1" si="21"/>
        <v>5.0936585510777075</v>
      </c>
      <c r="L47" s="216" t="s">
        <v>505</v>
      </c>
      <c r="M47" s="450" t="s">
        <v>403</v>
      </c>
      <c r="N47" s="216" t="s">
        <v>425</v>
      </c>
      <c r="O47" s="216" t="s">
        <v>195</v>
      </c>
      <c r="P47" s="418" t="s">
        <v>480</v>
      </c>
      <c r="Q47" s="324">
        <f t="shared" ca="1" si="25"/>
        <v>8.2239999999999994E-2</v>
      </c>
      <c r="R47" s="640">
        <f>100+Summary!$Q$8</f>
        <v>100.71</v>
      </c>
      <c r="S47" s="140">
        <v>5</v>
      </c>
      <c r="T47" s="311">
        <f t="shared" ca="1" si="26"/>
        <v>8.1483550083602585E-2</v>
      </c>
      <c r="U47" s="4">
        <f t="shared" ca="1" si="23"/>
        <v>172634038.81628591</v>
      </c>
      <c r="V47" s="4">
        <f t="shared" si="24"/>
        <v>1617618047.084254</v>
      </c>
      <c r="W47" s="312">
        <f>-AG38*(Q14+Q16)/(Q14+Q15+Q16+Q17)</f>
        <v>-2.7875879053421192E-3</v>
      </c>
      <c r="X47" s="454">
        <f>ROUND(-V28*W28/100,5)</f>
        <v>-2.2450000000000001E-2</v>
      </c>
      <c r="Y47" s="159"/>
    </row>
    <row r="48" spans="1:34">
      <c r="A48" s="227" t="s">
        <v>515</v>
      </c>
      <c r="B48" s="227" t="s">
        <v>525</v>
      </c>
      <c r="C48" s="141">
        <f t="shared" si="13"/>
        <v>1300</v>
      </c>
      <c r="D48" s="141">
        <f t="shared" si="14"/>
        <v>135.792</v>
      </c>
      <c r="E48" s="141">
        <f t="shared" ca="1" si="15"/>
        <v>145.755</v>
      </c>
      <c r="F48" s="141">
        <f t="shared" ca="1" si="16"/>
        <v>9.9629999999999939</v>
      </c>
      <c r="G48" s="512">
        <f t="shared" ca="1" si="17"/>
        <v>7.3369565217391255</v>
      </c>
      <c r="H48" s="141">
        <f t="shared" ca="1" si="18"/>
        <v>145.755</v>
      </c>
      <c r="I48" s="141">
        <f t="shared" ca="1" si="19"/>
        <v>152.45400000000001</v>
      </c>
      <c r="J48" s="141">
        <f t="shared" ca="1" si="20"/>
        <v>6.6990000000000123</v>
      </c>
      <c r="K48" s="512">
        <f t="shared" ca="1" si="21"/>
        <v>4.5960687454975906</v>
      </c>
      <c r="L48" s="219" t="s">
        <v>505</v>
      </c>
      <c r="M48" s="628" t="s">
        <v>29</v>
      </c>
      <c r="N48" s="145" t="s">
        <v>422</v>
      </c>
      <c r="O48" s="144" t="s">
        <v>199</v>
      </c>
      <c r="P48" s="144" t="s">
        <v>419</v>
      </c>
      <c r="Q48" s="220">
        <f t="shared" ref="Q48:Q57" si="27">IF(P48="Unbilled",SUMIFS(Q$27:Q$33,P$27:P$33,P48),SUMIFS(Q$35:Q$47,O$35:O$47,O48,P$35:P$47,P48)*S48)</f>
        <v>10742609.827545121</v>
      </c>
      <c r="R48" s="158">
        <f t="shared" ref="R48:R57" si="28">IF(P48="Unbilled",SUMIFS(Q$27:Q$33,P$27:P$33,P48),SUMIFS(T$35:T$47,O$35:O$47,O48,P$35:P$47,P48)*S48)</f>
        <v>10742609.827545121</v>
      </c>
      <c r="S48" s="164">
        <f t="shared" ref="S48:S57" si="29">SUMIFS(Q$8:Q$18,O$8:O$18,O48,P$8:P$18,P48)</f>
        <v>1074260.9827545122</v>
      </c>
      <c r="V48" s="361"/>
      <c r="W48" s="159"/>
      <c r="Y48" s="159"/>
    </row>
    <row r="49" spans="1:25">
      <c r="A49" s="227" t="s">
        <v>515</v>
      </c>
      <c r="B49" s="227" t="s">
        <v>525</v>
      </c>
      <c r="C49" s="141">
        <f t="shared" si="13"/>
        <v>1400</v>
      </c>
      <c r="D49" s="141">
        <f t="shared" si="14"/>
        <v>146.99</v>
      </c>
      <c r="E49" s="141">
        <f t="shared" ca="1" si="15"/>
        <v>156.87200000000001</v>
      </c>
      <c r="F49" s="141">
        <f t="shared" ca="1" si="16"/>
        <v>9.882000000000005</v>
      </c>
      <c r="G49" s="512">
        <f t="shared" ca="1" si="17"/>
        <v>6.7229063201578372</v>
      </c>
      <c r="H49" s="141">
        <f t="shared" ca="1" si="18"/>
        <v>156.87200000000001</v>
      </c>
      <c r="I49" s="141">
        <f t="shared" ca="1" si="19"/>
        <v>163.41200000000001</v>
      </c>
      <c r="J49" s="141">
        <f t="shared" ca="1" si="20"/>
        <v>6.539999999999992</v>
      </c>
      <c r="K49" s="512">
        <f t="shared" ca="1" si="21"/>
        <v>4.1690040287622976</v>
      </c>
      <c r="L49" s="215" t="s">
        <v>505</v>
      </c>
      <c r="M49" s="390" t="s">
        <v>29</v>
      </c>
      <c r="N49" s="102" t="s">
        <v>422</v>
      </c>
      <c r="O49" s="100" t="s">
        <v>199</v>
      </c>
      <c r="P49" s="100" t="s">
        <v>420</v>
      </c>
      <c r="Q49" s="217">
        <f t="shared" si="27"/>
        <v>1965326.9436525307</v>
      </c>
      <c r="R49" s="158">
        <f t="shared" si="28"/>
        <v>1965326.9436525307</v>
      </c>
      <c r="S49" s="164">
        <f t="shared" si="29"/>
        <v>253590.57337452009</v>
      </c>
      <c r="V49" s="361"/>
      <c r="W49" s="278"/>
      <c r="Y49" s="159"/>
    </row>
    <row r="50" spans="1:25">
      <c r="A50" s="227" t="s">
        <v>515</v>
      </c>
      <c r="B50" s="227" t="s">
        <v>525</v>
      </c>
      <c r="C50" s="141">
        <f t="shared" si="13"/>
        <v>1500</v>
      </c>
      <c r="D50" s="141">
        <f t="shared" si="14"/>
        <v>158.18799999999999</v>
      </c>
      <c r="E50" s="141">
        <f t="shared" ca="1" si="15"/>
        <v>167.98900000000003</v>
      </c>
      <c r="F50" s="141">
        <f t="shared" ca="1" si="16"/>
        <v>9.8010000000000446</v>
      </c>
      <c r="G50" s="512">
        <f t="shared" ca="1" si="17"/>
        <v>6.1957923483450363</v>
      </c>
      <c r="H50" s="141">
        <f t="shared" ca="1" si="18"/>
        <v>167.98900000000003</v>
      </c>
      <c r="I50" s="141">
        <f t="shared" ca="1" si="19"/>
        <v>174.37</v>
      </c>
      <c r="J50" s="141">
        <f t="shared" ca="1" si="20"/>
        <v>6.3809999999999718</v>
      </c>
      <c r="K50" s="512">
        <f t="shared" ca="1" si="21"/>
        <v>3.7984629946008193</v>
      </c>
      <c r="L50" s="215" t="s">
        <v>505</v>
      </c>
      <c r="M50" s="390" t="s">
        <v>29</v>
      </c>
      <c r="N50" s="102" t="s">
        <v>422</v>
      </c>
      <c r="O50" s="100" t="s">
        <v>200</v>
      </c>
      <c r="P50" s="100" t="s">
        <v>419</v>
      </c>
      <c r="Q50" s="217">
        <f t="shared" si="27"/>
        <v>18480.634838709673</v>
      </c>
      <c r="R50" s="158">
        <f t="shared" si="28"/>
        <v>18480.634838709673</v>
      </c>
      <c r="S50" s="164">
        <f t="shared" si="29"/>
        <v>1026.7019354838708</v>
      </c>
      <c r="V50" s="361"/>
      <c r="W50" s="416"/>
      <c r="Y50" s="159"/>
    </row>
    <row r="51" spans="1:25" s="159" customFormat="1">
      <c r="A51" s="227" t="s">
        <v>515</v>
      </c>
      <c r="B51" s="227" t="s">
        <v>525</v>
      </c>
      <c r="C51" s="141">
        <f t="shared" si="13"/>
        <v>1600</v>
      </c>
      <c r="D51" s="141">
        <f t="shared" si="14"/>
        <v>169.386</v>
      </c>
      <c r="E51" s="141">
        <f t="shared" ca="1" si="15"/>
        <v>179.10599999999999</v>
      </c>
      <c r="F51" s="141">
        <f t="shared" ca="1" si="16"/>
        <v>9.7199999999999989</v>
      </c>
      <c r="G51" s="512">
        <f t="shared" ca="1" si="17"/>
        <v>5.7383727108497746</v>
      </c>
      <c r="H51" s="141">
        <f t="shared" ca="1" si="18"/>
        <v>179.10599999999999</v>
      </c>
      <c r="I51" s="141">
        <f t="shared" ca="1" si="19"/>
        <v>185.328</v>
      </c>
      <c r="J51" s="141">
        <f t="shared" ca="1" si="20"/>
        <v>6.2220000000000084</v>
      </c>
      <c r="K51" s="512">
        <f t="shared" ca="1" si="21"/>
        <v>3.4739204716759953</v>
      </c>
      <c r="L51" s="215" t="s">
        <v>505</v>
      </c>
      <c r="M51" s="390" t="s">
        <v>29</v>
      </c>
      <c r="N51" s="102" t="s">
        <v>422</v>
      </c>
      <c r="O51" s="100" t="s">
        <v>200</v>
      </c>
      <c r="P51" s="100" t="s">
        <v>420</v>
      </c>
      <c r="Q51" s="217">
        <f t="shared" si="27"/>
        <v>348.08516129032262</v>
      </c>
      <c r="R51" s="158">
        <f t="shared" si="28"/>
        <v>348.08516129032262</v>
      </c>
      <c r="S51" s="164">
        <f t="shared" si="29"/>
        <v>22.100645161290323</v>
      </c>
      <c r="V51" s="361"/>
      <c r="W51" s="416"/>
    </row>
    <row r="52" spans="1:25" s="159" customFormat="1">
      <c r="A52" s="227" t="s">
        <v>515</v>
      </c>
      <c r="B52" s="227" t="s">
        <v>525</v>
      </c>
      <c r="C52" s="141">
        <f t="shared" si="13"/>
        <v>2000</v>
      </c>
      <c r="D52" s="141">
        <f t="shared" si="14"/>
        <v>214.178</v>
      </c>
      <c r="E52" s="141">
        <f t="shared" ca="1" si="15"/>
        <v>223.57400000000001</v>
      </c>
      <c r="F52" s="141">
        <f t="shared" ca="1" si="16"/>
        <v>9.396000000000015</v>
      </c>
      <c r="G52" s="512">
        <f t="shared" ca="1" si="17"/>
        <v>4.387005201281184</v>
      </c>
      <c r="H52" s="141">
        <f t="shared" ca="1" si="18"/>
        <v>223.57400000000001</v>
      </c>
      <c r="I52" s="141">
        <f t="shared" ca="1" si="19"/>
        <v>229.16000000000003</v>
      </c>
      <c r="J52" s="141">
        <f t="shared" ca="1" si="20"/>
        <v>5.5860000000000127</v>
      </c>
      <c r="K52" s="512">
        <f t="shared" ca="1" si="21"/>
        <v>2.4985016146779198</v>
      </c>
      <c r="L52" s="215" t="s">
        <v>505</v>
      </c>
      <c r="M52" s="390" t="s">
        <v>29</v>
      </c>
      <c r="N52" s="102" t="s">
        <v>422</v>
      </c>
      <c r="O52" s="100" t="s">
        <v>195</v>
      </c>
      <c r="P52" s="417" t="s">
        <v>366</v>
      </c>
      <c r="Q52" s="217">
        <f t="shared" si="27"/>
        <v>-85106.12000000001</v>
      </c>
      <c r="R52" s="158">
        <f t="shared" si="28"/>
        <v>-85106.12000000001</v>
      </c>
      <c r="S52" s="164">
        <f t="shared" si="29"/>
        <v>340424.48000000004</v>
      </c>
      <c r="V52" s="361"/>
    </row>
    <row r="53" spans="1:25" s="159" customFormat="1">
      <c r="A53" s="337" t="s">
        <v>515</v>
      </c>
      <c r="B53" s="337" t="s">
        <v>525</v>
      </c>
      <c r="C53" s="142">
        <f t="shared" si="13"/>
        <v>2600</v>
      </c>
      <c r="D53" s="142">
        <f t="shared" si="14"/>
        <v>281.36599999999999</v>
      </c>
      <c r="E53" s="142">
        <f t="shared" ca="1" si="15"/>
        <v>290.27600000000001</v>
      </c>
      <c r="F53" s="142">
        <f t="shared" ca="1" si="16"/>
        <v>8.910000000000025</v>
      </c>
      <c r="G53" s="513">
        <f t="shared" ca="1" si="17"/>
        <v>3.1666939146876398</v>
      </c>
      <c r="H53" s="142">
        <f t="shared" ca="1" si="18"/>
        <v>290.27600000000001</v>
      </c>
      <c r="I53" s="142">
        <f t="shared" ca="1" si="19"/>
        <v>294.90800000000002</v>
      </c>
      <c r="J53" s="142">
        <f t="shared" ca="1" si="20"/>
        <v>4.632000000000005</v>
      </c>
      <c r="K53" s="513">
        <f t="shared" ca="1" si="21"/>
        <v>1.5957226915073945</v>
      </c>
      <c r="L53" s="215" t="s">
        <v>505</v>
      </c>
      <c r="M53" s="390" t="s">
        <v>29</v>
      </c>
      <c r="N53" s="102" t="s">
        <v>422</v>
      </c>
      <c r="O53" s="215" t="s">
        <v>195</v>
      </c>
      <c r="P53" s="417" t="s">
        <v>396</v>
      </c>
      <c r="Q53" s="217">
        <f t="shared" ca="1" si="27"/>
        <v>24675765.748441271</v>
      </c>
      <c r="R53" s="158">
        <f t="shared" ca="1" si="28"/>
        <v>24498535.829494704</v>
      </c>
      <c r="S53" s="164">
        <f t="shared" si="29"/>
        <v>232417497.86607584</v>
      </c>
      <c r="V53" s="361"/>
    </row>
    <row r="54" spans="1:25" s="159" customFormat="1">
      <c r="A54" s="402" t="s">
        <v>517</v>
      </c>
      <c r="B54" s="353"/>
      <c r="C54" s="353"/>
      <c r="D54" s="353"/>
      <c r="E54" s="10"/>
      <c r="F54" s="353"/>
      <c r="G54" s="523"/>
      <c r="H54" s="10"/>
      <c r="I54" s="10"/>
      <c r="J54" s="353"/>
      <c r="K54" s="526"/>
      <c r="L54" s="215" t="s">
        <v>505</v>
      </c>
      <c r="M54" s="390" t="s">
        <v>29</v>
      </c>
      <c r="N54" s="102" t="s">
        <v>422</v>
      </c>
      <c r="O54" s="215" t="s">
        <v>195</v>
      </c>
      <c r="P54" s="417" t="s">
        <v>394</v>
      </c>
      <c r="Q54" s="217">
        <f t="shared" ca="1" si="27"/>
        <v>46813220.789662428</v>
      </c>
      <c r="R54" s="158">
        <f t="shared" ca="1" si="28"/>
        <v>46445444.735402547</v>
      </c>
      <c r="S54" s="164">
        <f t="shared" si="29"/>
        <v>484809660.2077716</v>
      </c>
      <c r="V54" s="361"/>
    </row>
    <row r="55" spans="1:25" s="159" customFormat="1">
      <c r="A55" s="403" t="str">
        <f>"The average residential customer uses "&amp;TEXT(C$22,"#,###")&amp;" kilowatt hours per month"</f>
        <v>The average residential customer uses 1,200 kilowatt hours per month</v>
      </c>
      <c r="B55" s="143"/>
      <c r="C55" s="143"/>
      <c r="D55" s="143"/>
      <c r="F55" s="143"/>
      <c r="G55" s="524"/>
      <c r="J55" s="143"/>
      <c r="K55" s="527"/>
      <c r="L55" s="215" t="s">
        <v>505</v>
      </c>
      <c r="M55" s="390" t="s">
        <v>29</v>
      </c>
      <c r="N55" s="102" t="s">
        <v>422</v>
      </c>
      <c r="O55" s="215" t="s">
        <v>195</v>
      </c>
      <c r="P55" s="417" t="s">
        <v>397</v>
      </c>
      <c r="Q55" s="217">
        <f t="shared" ca="1" si="27"/>
        <v>28624922.810730092</v>
      </c>
      <c r="R55" s="158">
        <f t="shared" ca="1" si="28"/>
        <v>28444198.109091554</v>
      </c>
      <c r="S55" s="164">
        <f t="shared" si="29"/>
        <v>237000520.04247469</v>
      </c>
      <c r="V55" s="361"/>
    </row>
    <row r="56" spans="1:25" s="159" customFormat="1">
      <c r="A56" s="393" t="s">
        <v>518</v>
      </c>
      <c r="F56" s="143"/>
      <c r="G56" s="524"/>
      <c r="J56" s="143"/>
      <c r="K56" s="527"/>
      <c r="L56" s="215" t="s">
        <v>505</v>
      </c>
      <c r="M56" s="390" t="s">
        <v>29</v>
      </c>
      <c r="N56" s="102" t="s">
        <v>422</v>
      </c>
      <c r="O56" s="215" t="s">
        <v>195</v>
      </c>
      <c r="P56" s="417" t="s">
        <v>395</v>
      </c>
      <c r="Q56" s="217">
        <f t="shared" ca="1" si="27"/>
        <v>73749107.318165004</v>
      </c>
      <c r="R56" s="158">
        <f t="shared" ca="1" si="28"/>
        <v>73245860.142297119</v>
      </c>
      <c r="S56" s="164">
        <f t="shared" si="29"/>
        <v>663390368.96793199</v>
      </c>
      <c r="V56" s="361"/>
    </row>
    <row r="57" spans="1:25" s="159" customFormat="1">
      <c r="A57" s="338" t="s">
        <v>523</v>
      </c>
      <c r="B57" s="354"/>
      <c r="C57" s="354"/>
      <c r="D57" s="354"/>
      <c r="E57" s="404"/>
      <c r="F57" s="354"/>
      <c r="G57" s="525"/>
      <c r="H57" s="404"/>
      <c r="I57" s="404"/>
      <c r="J57" s="354"/>
      <c r="K57" s="528"/>
      <c r="L57" s="216" t="s">
        <v>505</v>
      </c>
      <c r="M57" s="450" t="s">
        <v>29</v>
      </c>
      <c r="N57" s="150" t="s">
        <v>422</v>
      </c>
      <c r="O57" s="216" t="s">
        <v>195</v>
      </c>
      <c r="P57" s="418" t="s">
        <v>168</v>
      </c>
      <c r="Q57" s="218">
        <f t="shared" si="27"/>
        <v>5660946.3060093932</v>
      </c>
      <c r="R57" s="158">
        <f t="shared" si="28"/>
        <v>5660946.3060093932</v>
      </c>
      <c r="S57" s="164">
        <f t="shared" si="29"/>
        <v>0</v>
      </c>
      <c r="V57" s="361"/>
    </row>
    <row r="58" spans="1:25" s="159" customFormat="1">
      <c r="A58" s="350" t="s">
        <v>515</v>
      </c>
      <c r="B58" s="350" t="s">
        <v>526</v>
      </c>
      <c r="C58" s="268">
        <f t="shared" ref="C58:C78" si="30">C33</f>
        <v>0</v>
      </c>
      <c r="D58" s="268">
        <f t="shared" ref="D58:D78" si="31">Q$19+IF(C58&lt;=600,C58*Q$23,600*Q$23+(C58-600)*Q$24)</f>
        <v>7.75</v>
      </c>
      <c r="E58" s="268">
        <f t="shared" ref="E58:E78" ca="1" si="32">Q$35+IF(C58&lt;=600,C58*Y$41,600*Y$41+(C58-600)*Y$43)</f>
        <v>10</v>
      </c>
      <c r="F58" s="268">
        <f t="shared" ref="F58:F78" ca="1" si="33">E58-D58</f>
        <v>2.25</v>
      </c>
      <c r="G58" s="517">
        <f t="shared" ref="G58:G78" ca="1" si="34">F58/D58*100</f>
        <v>29.032258064516132</v>
      </c>
      <c r="H58" s="268">
        <f t="shared" ref="H58:H78" ca="1" si="35">E58</f>
        <v>10</v>
      </c>
      <c r="I58" s="268">
        <f t="shared" ref="I58:I78" ca="1" si="36">Q$59+IF(C58&lt;=600,C58*Y$65,600*Y$65+(C58-600)*Y$67)</f>
        <v>10</v>
      </c>
      <c r="J58" s="268">
        <f t="shared" ref="J58:J78" ca="1" si="37">I58-H58</f>
        <v>0</v>
      </c>
      <c r="K58" s="517">
        <f t="shared" ref="K58:K78" ca="1" si="38">J58/H58*100</f>
        <v>0</v>
      </c>
      <c r="L58" s="336" t="s">
        <v>533</v>
      </c>
      <c r="M58" s="444" t="s">
        <v>29</v>
      </c>
      <c r="N58" s="229" t="s">
        <v>422</v>
      </c>
      <c r="O58" s="233" t="s">
        <v>195</v>
      </c>
      <c r="P58" s="233" t="s">
        <v>195</v>
      </c>
      <c r="Q58" s="235">
        <f ca="1">'Cost of Service and Proposed $'!U128</f>
        <v>203293795.45162883</v>
      </c>
      <c r="R58" s="1"/>
      <c r="S58" s="1"/>
      <c r="T58" s="1"/>
      <c r="U58" s="1"/>
      <c r="V58" s="1"/>
    </row>
    <row r="59" spans="1:25" s="159" customFormat="1">
      <c r="A59" s="227" t="s">
        <v>515</v>
      </c>
      <c r="B59" s="227" t="s">
        <v>526</v>
      </c>
      <c r="C59" s="141">
        <f t="shared" si="30"/>
        <v>50</v>
      </c>
      <c r="D59" s="141">
        <f t="shared" si="31"/>
        <v>11.888</v>
      </c>
      <c r="E59" s="141">
        <f t="shared" ca="1" si="32"/>
        <v>14.967335456386298</v>
      </c>
      <c r="F59" s="141">
        <f t="shared" ca="1" si="33"/>
        <v>3.079335456386298</v>
      </c>
      <c r="G59" s="512">
        <f t="shared" ca="1" si="34"/>
        <v>25.902889101499817</v>
      </c>
      <c r="H59" s="141">
        <f t="shared" ca="1" si="35"/>
        <v>14.967335456386298</v>
      </c>
      <c r="I59" s="141">
        <f t="shared" ca="1" si="36"/>
        <v>15.757752235736888</v>
      </c>
      <c r="J59" s="141">
        <f t="shared" ca="1" si="37"/>
        <v>0.79041677935058985</v>
      </c>
      <c r="K59" s="512">
        <f t="shared" ca="1" si="38"/>
        <v>5.280945173266181</v>
      </c>
      <c r="L59" s="219" t="s">
        <v>506</v>
      </c>
      <c r="M59" s="628" t="s">
        <v>403</v>
      </c>
      <c r="N59" s="145" t="s">
        <v>424</v>
      </c>
      <c r="O59" s="144" t="s">
        <v>199</v>
      </c>
      <c r="P59" s="144" t="s">
        <v>419</v>
      </c>
      <c r="Q59" s="425">
        <f>T59</f>
        <v>10</v>
      </c>
      <c r="R59" s="1"/>
      <c r="S59" s="1"/>
      <c r="T59" s="312">
        <f>T35</f>
        <v>10</v>
      </c>
      <c r="U59" s="140">
        <f>Q$8*T59+Q$9*T60+Q$10*T61+Q$11*T62</f>
        <v>12726765.491197653</v>
      </c>
      <c r="V59" s="1"/>
      <c r="X59" s="1"/>
      <c r="Y59" s="1"/>
    </row>
    <row r="60" spans="1:25" s="159" customFormat="1">
      <c r="A60" s="227" t="s">
        <v>515</v>
      </c>
      <c r="B60" s="227" t="s">
        <v>526</v>
      </c>
      <c r="C60" s="141">
        <f t="shared" si="30"/>
        <v>100</v>
      </c>
      <c r="D60" s="141">
        <f t="shared" si="31"/>
        <v>16.026</v>
      </c>
      <c r="E60" s="141">
        <f t="shared" ca="1" si="32"/>
        <v>19.934670912772596</v>
      </c>
      <c r="F60" s="141">
        <f t="shared" ca="1" si="33"/>
        <v>3.908670912772596</v>
      </c>
      <c r="G60" s="512">
        <f t="shared" ca="1" si="34"/>
        <v>24.389560169553199</v>
      </c>
      <c r="H60" s="141">
        <f t="shared" ca="1" si="35"/>
        <v>19.934670912772596</v>
      </c>
      <c r="I60" s="141">
        <f t="shared" ca="1" si="36"/>
        <v>21.515504471473776</v>
      </c>
      <c r="J60" s="141">
        <f t="shared" ca="1" si="37"/>
        <v>1.5808335587011797</v>
      </c>
      <c r="K60" s="512">
        <f t="shared" ca="1" si="38"/>
        <v>7.9300710085377117</v>
      </c>
      <c r="L60" s="215" t="s">
        <v>506</v>
      </c>
      <c r="M60" s="390" t="s">
        <v>403</v>
      </c>
      <c r="N60" s="102" t="s">
        <v>424</v>
      </c>
      <c r="O60" s="100" t="s">
        <v>199</v>
      </c>
      <c r="P60" s="100" t="s">
        <v>420</v>
      </c>
      <c r="Q60" s="420">
        <f>T60</f>
        <v>7.75</v>
      </c>
      <c r="R60" s="1"/>
      <c r="S60" s="1"/>
      <c r="T60" s="312">
        <f>T36</f>
        <v>7.75</v>
      </c>
      <c r="U60" s="140"/>
      <c r="V60" s="1"/>
      <c r="X60" s="1"/>
      <c r="Y60" s="1"/>
    </row>
    <row r="61" spans="1:25" s="159" customFormat="1">
      <c r="A61" s="227" t="s">
        <v>515</v>
      </c>
      <c r="B61" s="227" t="s">
        <v>526</v>
      </c>
      <c r="C61" s="141">
        <f t="shared" si="30"/>
        <v>150</v>
      </c>
      <c r="D61" s="141">
        <f t="shared" si="31"/>
        <v>20.164000000000001</v>
      </c>
      <c r="E61" s="141">
        <f t="shared" ca="1" si="32"/>
        <v>24.90200636915889</v>
      </c>
      <c r="F61" s="141">
        <f t="shared" ca="1" si="33"/>
        <v>4.7380063691588887</v>
      </c>
      <c r="G61" s="512">
        <f t="shared" ca="1" si="34"/>
        <v>23.497353546711409</v>
      </c>
      <c r="H61" s="141">
        <f t="shared" ca="1" si="35"/>
        <v>24.90200636915889</v>
      </c>
      <c r="I61" s="141">
        <f t="shared" ca="1" si="36"/>
        <v>27.273256707210663</v>
      </c>
      <c r="J61" s="141">
        <f t="shared" ca="1" si="37"/>
        <v>2.3712503380517731</v>
      </c>
      <c r="K61" s="512">
        <f t="shared" ca="1" si="38"/>
        <v>9.522326445906641</v>
      </c>
      <c r="L61" s="215" t="s">
        <v>506</v>
      </c>
      <c r="M61" s="390" t="s">
        <v>403</v>
      </c>
      <c r="N61" s="102" t="s">
        <v>424</v>
      </c>
      <c r="O61" s="100" t="s">
        <v>200</v>
      </c>
      <c r="P61" s="100" t="s">
        <v>419</v>
      </c>
      <c r="Q61" s="420">
        <f>T61</f>
        <v>18</v>
      </c>
      <c r="R61" s="1"/>
      <c r="S61" s="1"/>
      <c r="T61" s="312">
        <f>T37</f>
        <v>18</v>
      </c>
      <c r="U61" s="140"/>
      <c r="V61" s="1"/>
      <c r="X61" s="1"/>
      <c r="Y61" s="1"/>
    </row>
    <row r="62" spans="1:25" s="159" customFormat="1">
      <c r="A62" s="227" t="s">
        <v>515</v>
      </c>
      <c r="B62" s="227" t="s">
        <v>526</v>
      </c>
      <c r="C62" s="141">
        <f t="shared" si="30"/>
        <v>200</v>
      </c>
      <c r="D62" s="141">
        <f t="shared" si="31"/>
        <v>24.302</v>
      </c>
      <c r="E62" s="141">
        <f t="shared" ca="1" si="32"/>
        <v>29.869341825545188</v>
      </c>
      <c r="F62" s="141">
        <f t="shared" ca="1" si="33"/>
        <v>5.5673418255451885</v>
      </c>
      <c r="G62" s="512">
        <f t="shared" ca="1" si="34"/>
        <v>22.908986196795279</v>
      </c>
      <c r="H62" s="141">
        <f t="shared" ca="1" si="35"/>
        <v>29.869341825545188</v>
      </c>
      <c r="I62" s="141">
        <f t="shared" ca="1" si="36"/>
        <v>33.031008942947551</v>
      </c>
      <c r="J62" s="141">
        <f t="shared" ca="1" si="37"/>
        <v>3.1616671174023629</v>
      </c>
      <c r="K62" s="512">
        <f t="shared" ca="1" si="38"/>
        <v>10.584990910976174</v>
      </c>
      <c r="L62" s="215" t="s">
        <v>506</v>
      </c>
      <c r="M62" s="390" t="s">
        <v>403</v>
      </c>
      <c r="N62" s="102" t="s">
        <v>424</v>
      </c>
      <c r="O62" s="100" t="s">
        <v>200</v>
      </c>
      <c r="P62" s="100" t="s">
        <v>420</v>
      </c>
      <c r="Q62" s="420">
        <f>T62</f>
        <v>15.75</v>
      </c>
      <c r="R62" s="1"/>
      <c r="S62" s="1"/>
      <c r="T62" s="312">
        <f>T38</f>
        <v>15.75</v>
      </c>
      <c r="U62" s="140"/>
      <c r="V62" s="1"/>
      <c r="X62" s="1"/>
      <c r="Y62" s="1"/>
    </row>
    <row r="63" spans="1:25">
      <c r="A63" s="227" t="s">
        <v>515</v>
      </c>
      <c r="B63" s="227" t="s">
        <v>526</v>
      </c>
      <c r="C63" s="141">
        <f t="shared" si="30"/>
        <v>300</v>
      </c>
      <c r="D63" s="141">
        <f t="shared" si="31"/>
        <v>32.578000000000003</v>
      </c>
      <c r="E63" s="141">
        <f t="shared" ca="1" si="32"/>
        <v>39.80401273831778</v>
      </c>
      <c r="F63" s="141">
        <f t="shared" ca="1" si="33"/>
        <v>7.2260127383177775</v>
      </c>
      <c r="G63" s="512">
        <f t="shared" ca="1" si="34"/>
        <v>22.180651784387553</v>
      </c>
      <c r="H63" s="141">
        <f t="shared" ca="1" si="35"/>
        <v>39.80401273831778</v>
      </c>
      <c r="I63" s="141">
        <f t="shared" ca="1" si="36"/>
        <v>44.546513414421327</v>
      </c>
      <c r="J63" s="141">
        <f t="shared" ca="1" si="37"/>
        <v>4.7425006761035462</v>
      </c>
      <c r="K63" s="512">
        <f t="shared" ca="1" si="38"/>
        <v>11.914629580896815</v>
      </c>
      <c r="L63" s="215" t="s">
        <v>506</v>
      </c>
      <c r="M63" s="390" t="s">
        <v>403</v>
      </c>
      <c r="N63" s="102" t="s">
        <v>424</v>
      </c>
      <c r="O63" s="100" t="s">
        <v>195</v>
      </c>
      <c r="P63" s="417" t="s">
        <v>366</v>
      </c>
      <c r="Q63" s="420">
        <f>T63</f>
        <v>-0.25</v>
      </c>
      <c r="R63" s="158"/>
      <c r="T63" s="312">
        <f>T39</f>
        <v>-0.25</v>
      </c>
    </row>
    <row r="64" spans="1:25">
      <c r="A64" s="227" t="s">
        <v>515</v>
      </c>
      <c r="B64" s="227" t="s">
        <v>526</v>
      </c>
      <c r="C64" s="141">
        <f t="shared" si="30"/>
        <v>400</v>
      </c>
      <c r="D64" s="141">
        <f t="shared" si="31"/>
        <v>40.853999999999999</v>
      </c>
      <c r="E64" s="141">
        <f t="shared" ca="1" si="32"/>
        <v>49.738683651090376</v>
      </c>
      <c r="F64" s="141">
        <f t="shared" ca="1" si="33"/>
        <v>8.8846836510903771</v>
      </c>
      <c r="G64" s="512">
        <f t="shared" ca="1" si="34"/>
        <v>21.74740209303955</v>
      </c>
      <c r="H64" s="141">
        <f t="shared" ca="1" si="35"/>
        <v>49.738683651090376</v>
      </c>
      <c r="I64" s="141">
        <f t="shared" ca="1" si="36"/>
        <v>56.062017885895102</v>
      </c>
      <c r="J64" s="141">
        <f t="shared" ca="1" si="37"/>
        <v>6.3233342348047259</v>
      </c>
      <c r="K64" s="512">
        <f t="shared" ca="1" si="38"/>
        <v>12.713111346415989</v>
      </c>
      <c r="L64" s="215" t="s">
        <v>506</v>
      </c>
      <c r="M64" s="390" t="s">
        <v>403</v>
      </c>
      <c r="N64" s="215" t="s">
        <v>334</v>
      </c>
      <c r="O64" s="215" t="s">
        <v>195</v>
      </c>
      <c r="P64" s="417" t="s">
        <v>396</v>
      </c>
      <c r="Q64" s="324">
        <f ca="1">ROUND(R64/100*U64/V64+W64+X64,S64)</f>
        <v>0.12878999999999999</v>
      </c>
      <c r="R64" s="439">
        <f>100+Summary!$R$8</f>
        <v>100.69499999999999</v>
      </c>
      <c r="S64" s="140">
        <v>5</v>
      </c>
      <c r="T64" s="311">
        <f t="shared" ref="T64:T71" ca="1" si="39">U64/V64+X64+W64</f>
        <v>0.12799716332257388</v>
      </c>
      <c r="U64" s="4">
        <f t="shared" ref="U64:U71" ca="1" si="40">Q$58-U$59-Q$52-Q$57</f>
        <v>184991189.77442181</v>
      </c>
      <c r="V64" s="4">
        <f t="shared" ref="V64:V71" si="41">Q$14+Q$15+Q$16+Q$17</f>
        <v>1617618047.084254</v>
      </c>
      <c r="W64" s="312">
        <f>AH38*(Q15+Q17)/(Q14+Q15+Q16+Q17)</f>
        <v>1.3636922283060742E-2</v>
      </c>
      <c r="X64" s="455">
        <f>-(Q16+Q17)*(Q24-Q23)/(Q14+Q15+Q16+Q17)*(100-T28)/100</f>
        <v>0</v>
      </c>
    </row>
    <row r="65" spans="1:25">
      <c r="A65" s="337" t="s">
        <v>515</v>
      </c>
      <c r="B65" s="337" t="s">
        <v>526</v>
      </c>
      <c r="C65" s="142">
        <f t="shared" si="30"/>
        <v>500</v>
      </c>
      <c r="D65" s="142">
        <f t="shared" si="31"/>
        <v>49.13</v>
      </c>
      <c r="E65" s="142">
        <f t="shared" ca="1" si="32"/>
        <v>59.673354563862972</v>
      </c>
      <c r="F65" s="142">
        <f t="shared" ca="1" si="33"/>
        <v>10.54335456386297</v>
      </c>
      <c r="G65" s="513">
        <f t="shared" ca="1" si="34"/>
        <v>21.460115131005434</v>
      </c>
      <c r="H65" s="142">
        <f t="shared" ca="1" si="35"/>
        <v>59.673354563862972</v>
      </c>
      <c r="I65" s="142">
        <f t="shared" ca="1" si="36"/>
        <v>67.577522357368878</v>
      </c>
      <c r="J65" s="142">
        <f t="shared" ca="1" si="37"/>
        <v>7.9041677935059056</v>
      </c>
      <c r="K65" s="513">
        <f t="shared" ca="1" si="38"/>
        <v>13.245723910236675</v>
      </c>
      <c r="L65" s="215" t="s">
        <v>506</v>
      </c>
      <c r="M65" s="390" t="s">
        <v>403</v>
      </c>
      <c r="N65" s="215" t="s">
        <v>334</v>
      </c>
      <c r="O65" s="215" t="s">
        <v>195</v>
      </c>
      <c r="P65" s="417" t="s">
        <v>394</v>
      </c>
      <c r="Q65" s="324">
        <f t="shared" ref="Q65:Q71" ca="1" si="42">ROUND(R65/100*U65/V65+W65+X65,S65)</f>
        <v>0.10958</v>
      </c>
      <c r="R65" s="439">
        <f>100+Summary!$R$8</f>
        <v>100.69499999999999</v>
      </c>
      <c r="S65" s="140">
        <v>5</v>
      </c>
      <c r="T65" s="311">
        <f t="shared" ca="1" si="39"/>
        <v>0.1087850652288289</v>
      </c>
      <c r="U65" s="4">
        <f t="shared" ca="1" si="40"/>
        <v>184991189.77442181</v>
      </c>
      <c r="V65" s="4">
        <f t="shared" si="41"/>
        <v>1617618047.084254</v>
      </c>
      <c r="W65" s="312">
        <f>-AH38*(Q14+Q16)/(Q14+Q15+Q16+Q17)</f>
        <v>-5.5751758106842384E-3</v>
      </c>
      <c r="X65" s="455">
        <f>-(Q16+Q17)*(Q24-Q23)/(Q14+Q15+Q16+Q17)*(100-T28)/100</f>
        <v>0</v>
      </c>
      <c r="Y65" s="311">
        <f ca="1">R65/100*U65/V65+X65</f>
        <v>0.11515504471473775</v>
      </c>
    </row>
    <row r="66" spans="1:25">
      <c r="A66" s="227" t="s">
        <v>515</v>
      </c>
      <c r="B66" s="227" t="s">
        <v>526</v>
      </c>
      <c r="C66" s="141">
        <f t="shared" si="30"/>
        <v>600</v>
      </c>
      <c r="D66" s="141">
        <f t="shared" si="31"/>
        <v>57.405999999999999</v>
      </c>
      <c r="E66" s="141">
        <f t="shared" ca="1" si="32"/>
        <v>69.608025476635561</v>
      </c>
      <c r="F66" s="141">
        <f t="shared" ca="1" si="33"/>
        <v>12.202025476635562</v>
      </c>
      <c r="G66" s="512">
        <f t="shared" ca="1" si="34"/>
        <v>21.255662259407661</v>
      </c>
      <c r="H66" s="141">
        <f t="shared" ca="1" si="35"/>
        <v>69.608025476635561</v>
      </c>
      <c r="I66" s="141">
        <f t="shared" ca="1" si="36"/>
        <v>79.093026828842653</v>
      </c>
      <c r="J66" s="141">
        <f t="shared" ca="1" si="37"/>
        <v>9.4850013522070924</v>
      </c>
      <c r="K66" s="512">
        <f t="shared" ca="1" si="38"/>
        <v>13.62630427635216</v>
      </c>
      <c r="L66" s="215" t="s">
        <v>506</v>
      </c>
      <c r="M66" s="390" t="s">
        <v>403</v>
      </c>
      <c r="N66" s="215" t="s">
        <v>334</v>
      </c>
      <c r="O66" s="215" t="s">
        <v>195</v>
      </c>
      <c r="P66" s="417" t="s">
        <v>397</v>
      </c>
      <c r="Q66" s="324">
        <f t="shared" ca="1" si="42"/>
        <v>0.12878999999999999</v>
      </c>
      <c r="R66" s="439">
        <f>100+Summary!$R$8</f>
        <v>100.69499999999999</v>
      </c>
      <c r="S66" s="140">
        <v>5</v>
      </c>
      <c r="T66" s="311">
        <f t="shared" ca="1" si="39"/>
        <v>0.12799716332257388</v>
      </c>
      <c r="U66" s="4">
        <f t="shared" ca="1" si="40"/>
        <v>184991189.77442181</v>
      </c>
      <c r="V66" s="4">
        <f t="shared" si="41"/>
        <v>1617618047.084254</v>
      </c>
      <c r="W66" s="312">
        <f>AH38*(Q15+Q17)/(Q14+Q15+Q16+Q17)</f>
        <v>1.3636922283060742E-2</v>
      </c>
      <c r="X66" s="455">
        <f>(Q14+Q15)*(Q24-Q23)/(Q14+Q15+Q16+Q17)*(100-T28)/100</f>
        <v>0</v>
      </c>
      <c r="Y66" s="311"/>
    </row>
    <row r="67" spans="1:25">
      <c r="A67" s="227" t="s">
        <v>515</v>
      </c>
      <c r="B67" s="227" t="s">
        <v>526</v>
      </c>
      <c r="C67" s="141">
        <f t="shared" si="30"/>
        <v>700</v>
      </c>
      <c r="D67" s="141">
        <f t="shared" si="31"/>
        <v>68.603999999999999</v>
      </c>
      <c r="E67" s="141">
        <f t="shared" ca="1" si="32"/>
        <v>81.003696389408162</v>
      </c>
      <c r="F67" s="141">
        <f t="shared" ca="1" si="33"/>
        <v>12.399696389408163</v>
      </c>
      <c r="G67" s="512">
        <f t="shared" ca="1" si="34"/>
        <v>18.074305272882285</v>
      </c>
      <c r="H67" s="141">
        <f t="shared" ca="1" si="35"/>
        <v>81.003696389408162</v>
      </c>
      <c r="I67" s="141">
        <f t="shared" ca="1" si="36"/>
        <v>90.608531300316429</v>
      </c>
      <c r="J67" s="141">
        <f t="shared" ca="1" si="37"/>
        <v>9.6048349109082665</v>
      </c>
      <c r="K67" s="512">
        <f t="shared" ca="1" si="38"/>
        <v>11.857279777375901</v>
      </c>
      <c r="L67" s="215" t="s">
        <v>506</v>
      </c>
      <c r="M67" s="390" t="s">
        <v>403</v>
      </c>
      <c r="N67" s="215" t="s">
        <v>334</v>
      </c>
      <c r="O67" s="215" t="s">
        <v>195</v>
      </c>
      <c r="P67" s="417" t="s">
        <v>395</v>
      </c>
      <c r="Q67" s="324">
        <f t="shared" ca="1" si="42"/>
        <v>0.10958</v>
      </c>
      <c r="R67" s="439">
        <f>100+Summary!$R$8</f>
        <v>100.69499999999999</v>
      </c>
      <c r="S67" s="140">
        <v>5</v>
      </c>
      <c r="T67" s="311">
        <f t="shared" ca="1" si="39"/>
        <v>0.1087850652288289</v>
      </c>
      <c r="U67" s="4">
        <f t="shared" ca="1" si="40"/>
        <v>184991189.77442181</v>
      </c>
      <c r="V67" s="4">
        <f t="shared" si="41"/>
        <v>1617618047.084254</v>
      </c>
      <c r="W67" s="312">
        <f>-AH38*(Q14+Q16)/(Q14+Q15+Q16+Q17)</f>
        <v>-5.5751758106842384E-3</v>
      </c>
      <c r="X67" s="455">
        <f>(Q14+Q15)*(Q24-Q23)/(Q14+Q15+Q16+Q17)*(100-T28)/100</f>
        <v>0</v>
      </c>
      <c r="Y67" s="311">
        <f ca="1">R67/100*U67/V67+X67</f>
        <v>0.11515504471473775</v>
      </c>
    </row>
    <row r="68" spans="1:25">
      <c r="A68" s="227" t="s">
        <v>515</v>
      </c>
      <c r="B68" s="227" t="s">
        <v>526</v>
      </c>
      <c r="C68" s="141">
        <f t="shared" si="30"/>
        <v>800</v>
      </c>
      <c r="D68" s="141">
        <f t="shared" si="31"/>
        <v>79.801999999999992</v>
      </c>
      <c r="E68" s="141">
        <f t="shared" ca="1" si="32"/>
        <v>92.399367302180764</v>
      </c>
      <c r="F68" s="141">
        <f t="shared" ca="1" si="33"/>
        <v>12.597367302180771</v>
      </c>
      <c r="G68" s="512">
        <f t="shared" ca="1" si="34"/>
        <v>15.78577893057915</v>
      </c>
      <c r="H68" s="141">
        <f t="shared" ca="1" si="35"/>
        <v>92.399367302180764</v>
      </c>
      <c r="I68" s="141">
        <f t="shared" ca="1" si="36"/>
        <v>102.1240357717902</v>
      </c>
      <c r="J68" s="141">
        <f t="shared" ca="1" si="37"/>
        <v>9.7246684696094405</v>
      </c>
      <c r="K68" s="512">
        <f t="shared" ca="1" si="38"/>
        <v>10.524605041727298</v>
      </c>
      <c r="L68" s="215" t="s">
        <v>506</v>
      </c>
      <c r="M68" s="390" t="s">
        <v>403</v>
      </c>
      <c r="N68" s="215" t="s">
        <v>425</v>
      </c>
      <c r="O68" s="215" t="s">
        <v>195</v>
      </c>
      <c r="P68" s="417" t="s">
        <v>477</v>
      </c>
      <c r="Q68" s="324">
        <f t="shared" ca="1" si="42"/>
        <v>0.15939</v>
      </c>
      <c r="R68" s="439">
        <f>100+Summary!$R$8</f>
        <v>100.69499999999999</v>
      </c>
      <c r="S68" s="140">
        <v>5</v>
      </c>
      <c r="T68" s="311">
        <f t="shared" ca="1" si="39"/>
        <v>0.15859716332257387</v>
      </c>
      <c r="U68" s="4">
        <f t="shared" ca="1" si="40"/>
        <v>184991189.77442181</v>
      </c>
      <c r="V68" s="4">
        <f t="shared" si="41"/>
        <v>1617618047.084254</v>
      </c>
      <c r="W68" s="312">
        <f>AH38*(Q15+Q17)/(Q14+Q15+Q16+Q17)</f>
        <v>1.3636922283060742E-2</v>
      </c>
      <c r="X68" s="454">
        <f>ROUND(V28*(1-W28/100),5)</f>
        <v>3.0599999999999999E-2</v>
      </c>
    </row>
    <row r="69" spans="1:25">
      <c r="A69" s="227" t="s">
        <v>515</v>
      </c>
      <c r="B69" s="227" t="s">
        <v>526</v>
      </c>
      <c r="C69" s="141">
        <f t="shared" si="30"/>
        <v>900</v>
      </c>
      <c r="D69" s="141">
        <f t="shared" si="31"/>
        <v>91</v>
      </c>
      <c r="E69" s="141">
        <f t="shared" ca="1" si="32"/>
        <v>103.79503821495335</v>
      </c>
      <c r="F69" s="141">
        <f t="shared" ca="1" si="33"/>
        <v>12.795038214953351</v>
      </c>
      <c r="G69" s="512">
        <f t="shared" ca="1" si="34"/>
        <v>14.060481554893792</v>
      </c>
      <c r="H69" s="141">
        <f t="shared" ca="1" si="35"/>
        <v>103.79503821495335</v>
      </c>
      <c r="I69" s="141">
        <f t="shared" ca="1" si="36"/>
        <v>113.63954024326398</v>
      </c>
      <c r="J69" s="141">
        <f t="shared" ca="1" si="37"/>
        <v>9.8445020283106288</v>
      </c>
      <c r="K69" s="512">
        <f t="shared" ca="1" si="38"/>
        <v>9.4845593754908109</v>
      </c>
      <c r="L69" s="215" t="s">
        <v>506</v>
      </c>
      <c r="M69" s="390" t="s">
        <v>403</v>
      </c>
      <c r="N69" s="215" t="s">
        <v>425</v>
      </c>
      <c r="O69" s="215" t="s">
        <v>195</v>
      </c>
      <c r="P69" s="417" t="s">
        <v>478</v>
      </c>
      <c r="Q69" s="324">
        <f t="shared" ca="1" si="42"/>
        <v>0.14018</v>
      </c>
      <c r="R69" s="439">
        <f>100+Summary!$R$8</f>
        <v>100.69499999999999</v>
      </c>
      <c r="S69" s="140">
        <v>5</v>
      </c>
      <c r="T69" s="311">
        <f t="shared" ca="1" si="39"/>
        <v>0.1393850652288289</v>
      </c>
      <c r="U69" s="4">
        <f t="shared" ca="1" si="40"/>
        <v>184991189.77442181</v>
      </c>
      <c r="V69" s="4">
        <f t="shared" si="41"/>
        <v>1617618047.084254</v>
      </c>
      <c r="W69" s="312">
        <f>-AH38*(Q14+Q16)/(Q14+Q15+Q16+Q17)</f>
        <v>-5.5751758106842384E-3</v>
      </c>
      <c r="X69" s="454">
        <f>ROUND(V28*(1-W28/100),5)</f>
        <v>3.0599999999999999E-2</v>
      </c>
    </row>
    <row r="70" spans="1:25">
      <c r="A70" s="227" t="s">
        <v>515</v>
      </c>
      <c r="B70" s="227" t="s">
        <v>526</v>
      </c>
      <c r="C70" s="141">
        <f t="shared" si="30"/>
        <v>1000</v>
      </c>
      <c r="D70" s="141">
        <f t="shared" si="31"/>
        <v>102.19800000000001</v>
      </c>
      <c r="E70" s="141">
        <f t="shared" ca="1" si="32"/>
        <v>115.19070912772594</v>
      </c>
      <c r="F70" s="141">
        <f t="shared" ca="1" si="33"/>
        <v>12.992709127725931</v>
      </c>
      <c r="G70" s="512">
        <f t="shared" ca="1" si="34"/>
        <v>12.713271421873158</v>
      </c>
      <c r="H70" s="141">
        <f t="shared" ca="1" si="35"/>
        <v>115.19070912772594</v>
      </c>
      <c r="I70" s="141">
        <f t="shared" ca="1" si="36"/>
        <v>125.15504471473776</v>
      </c>
      <c r="J70" s="141">
        <f t="shared" ca="1" si="37"/>
        <v>9.9643355870118171</v>
      </c>
      <c r="K70" s="512">
        <f t="shared" ca="1" si="38"/>
        <v>8.6502945093975825</v>
      </c>
      <c r="L70" s="215" t="s">
        <v>506</v>
      </c>
      <c r="M70" s="390" t="s">
        <v>403</v>
      </c>
      <c r="N70" s="215" t="s">
        <v>425</v>
      </c>
      <c r="O70" s="215" t="s">
        <v>195</v>
      </c>
      <c r="P70" s="417" t="s">
        <v>479</v>
      </c>
      <c r="Q70" s="324">
        <f t="shared" ca="1" si="42"/>
        <v>0.10634</v>
      </c>
      <c r="R70" s="439">
        <f>100+Summary!$R$8</f>
        <v>100.69499999999999</v>
      </c>
      <c r="S70" s="140">
        <v>5</v>
      </c>
      <c r="T70" s="311">
        <f t="shared" ca="1" si="39"/>
        <v>0.10554716332257388</v>
      </c>
      <c r="U70" s="4">
        <f t="shared" ca="1" si="40"/>
        <v>184991189.77442181</v>
      </c>
      <c r="V70" s="4">
        <f t="shared" si="41"/>
        <v>1617618047.084254</v>
      </c>
      <c r="W70" s="312">
        <f>AH38*(Q15+Q17)/(Q14+Q15+Q16+Q17)</f>
        <v>1.3636922283060742E-2</v>
      </c>
      <c r="X70" s="454">
        <f>ROUND(-V28*W28/100,5)</f>
        <v>-2.2450000000000001E-2</v>
      </c>
    </row>
    <row r="71" spans="1:25">
      <c r="A71" s="227" t="s">
        <v>515</v>
      </c>
      <c r="B71" s="227" t="s">
        <v>526</v>
      </c>
      <c r="C71" s="141">
        <f t="shared" si="30"/>
        <v>1100</v>
      </c>
      <c r="D71" s="141">
        <f t="shared" si="31"/>
        <v>113.39599999999999</v>
      </c>
      <c r="E71" s="141">
        <f t="shared" ca="1" si="32"/>
        <v>126.58638004049854</v>
      </c>
      <c r="F71" s="141">
        <f t="shared" ca="1" si="33"/>
        <v>13.190380040498553</v>
      </c>
      <c r="G71" s="512">
        <f t="shared" ca="1" si="34"/>
        <v>11.632138735492042</v>
      </c>
      <c r="H71" s="141">
        <f t="shared" ca="1" si="35"/>
        <v>126.58638004049854</v>
      </c>
      <c r="I71" s="141">
        <f t="shared" ca="1" si="36"/>
        <v>136.67054918621153</v>
      </c>
      <c r="J71" s="141">
        <f t="shared" ca="1" si="37"/>
        <v>10.084169145712991</v>
      </c>
      <c r="K71" s="512">
        <f t="shared" ca="1" si="38"/>
        <v>7.9662355006018677</v>
      </c>
      <c r="L71" s="216" t="s">
        <v>506</v>
      </c>
      <c r="M71" s="450" t="s">
        <v>403</v>
      </c>
      <c r="N71" s="216" t="s">
        <v>425</v>
      </c>
      <c r="O71" s="216" t="s">
        <v>195</v>
      </c>
      <c r="P71" s="418" t="s">
        <v>480</v>
      </c>
      <c r="Q71" s="324">
        <f t="shared" ca="1" si="42"/>
        <v>8.7129999999999999E-2</v>
      </c>
      <c r="R71" s="439">
        <f>100+Summary!$R$8</f>
        <v>100.69499999999999</v>
      </c>
      <c r="S71" s="140">
        <v>5</v>
      </c>
      <c r="T71" s="311">
        <f t="shared" ca="1" si="39"/>
        <v>8.6335065228828903E-2</v>
      </c>
      <c r="U71" s="4">
        <f t="shared" ca="1" si="40"/>
        <v>184991189.77442181</v>
      </c>
      <c r="V71" s="4">
        <f t="shared" si="41"/>
        <v>1617618047.084254</v>
      </c>
      <c r="W71" s="312">
        <f>-AH38*(Q14+Q16)/(Q14+Q15+Q16+Q17)</f>
        <v>-5.5751758106842384E-3</v>
      </c>
      <c r="X71" s="454">
        <f>ROUND(-V28*W28/100,5)</f>
        <v>-2.2450000000000001E-2</v>
      </c>
    </row>
    <row r="72" spans="1:25">
      <c r="A72" s="336" t="s">
        <v>515</v>
      </c>
      <c r="B72" s="336" t="s">
        <v>526</v>
      </c>
      <c r="C72" s="340">
        <f t="shared" si="30"/>
        <v>1200</v>
      </c>
      <c r="D72" s="340">
        <f t="shared" si="31"/>
        <v>124.59399999999999</v>
      </c>
      <c r="E72" s="340">
        <f t="shared" ca="1" si="32"/>
        <v>137.98205095327114</v>
      </c>
      <c r="F72" s="340">
        <f t="shared" ca="1" si="33"/>
        <v>13.388050953271147</v>
      </c>
      <c r="G72" s="514">
        <f t="shared" ca="1" si="34"/>
        <v>10.745341632238429</v>
      </c>
      <c r="H72" s="340">
        <f t="shared" ca="1" si="35"/>
        <v>137.98205095327114</v>
      </c>
      <c r="I72" s="340">
        <f t="shared" ca="1" si="36"/>
        <v>148.18605365768531</v>
      </c>
      <c r="J72" s="340">
        <f t="shared" ca="1" si="37"/>
        <v>10.204002704414165</v>
      </c>
      <c r="K72" s="514">
        <f t="shared" ca="1" si="38"/>
        <v>7.3951667147416451</v>
      </c>
      <c r="L72" s="219" t="s">
        <v>506</v>
      </c>
      <c r="M72" s="628" t="s">
        <v>29</v>
      </c>
      <c r="N72" s="145" t="s">
        <v>422</v>
      </c>
      <c r="O72" s="144" t="s">
        <v>199</v>
      </c>
      <c r="P72" s="144" t="s">
        <v>419</v>
      </c>
      <c r="Q72" s="220">
        <f t="shared" ref="Q72:Q81" si="43">IF(P72="Unbilled",SUMIFS(Q$48:Q$57,P$48:P$57,P72),SUMIFS(Q$59:Q$71,O$59:O$71,O72,P$59:P$71,P72)*S72)</f>
        <v>10742609.827545121</v>
      </c>
      <c r="R72" s="158">
        <f t="shared" ref="R72:R81" si="44">IF(P72="Unbilled",SUMIFS(Q$48:Q$57,P$48:P$57,P72),SUMIFS(T$59:T$71,O$59:O$71,O72,P$59:P$71,P72)*S72)</f>
        <v>10742609.827545121</v>
      </c>
      <c r="S72" s="164">
        <f t="shared" ref="S72:S81" si="45">SUMIFS(Q$8:Q$18,O$8:O$18,O72,P$8:P$18,P72)</f>
        <v>1074260.9827545122</v>
      </c>
      <c r="V72" s="361"/>
      <c r="W72" s="159"/>
    </row>
    <row r="73" spans="1:25">
      <c r="A73" s="227" t="s">
        <v>515</v>
      </c>
      <c r="B73" s="227" t="s">
        <v>526</v>
      </c>
      <c r="C73" s="141">
        <f t="shared" si="30"/>
        <v>1300</v>
      </c>
      <c r="D73" s="141">
        <f t="shared" si="31"/>
        <v>135.792</v>
      </c>
      <c r="E73" s="141">
        <f t="shared" ca="1" si="32"/>
        <v>149.37772186604374</v>
      </c>
      <c r="F73" s="141">
        <f t="shared" ca="1" si="33"/>
        <v>13.585721866043741</v>
      </c>
      <c r="G73" s="512">
        <f t="shared" ca="1" si="34"/>
        <v>10.004802835250782</v>
      </c>
      <c r="H73" s="141">
        <f t="shared" ca="1" si="35"/>
        <v>149.37772186604374</v>
      </c>
      <c r="I73" s="141">
        <f t="shared" ca="1" si="36"/>
        <v>159.70155812915908</v>
      </c>
      <c r="J73" s="141">
        <f t="shared" ca="1" si="37"/>
        <v>10.323836263115339</v>
      </c>
      <c r="K73" s="512">
        <f t="shared" ca="1" si="38"/>
        <v>6.9112288861744471</v>
      </c>
      <c r="L73" s="215" t="s">
        <v>506</v>
      </c>
      <c r="M73" s="390" t="s">
        <v>29</v>
      </c>
      <c r="N73" s="102" t="s">
        <v>422</v>
      </c>
      <c r="O73" s="100" t="s">
        <v>199</v>
      </c>
      <c r="P73" s="100" t="s">
        <v>420</v>
      </c>
      <c r="Q73" s="217">
        <f t="shared" si="43"/>
        <v>1965326.9436525307</v>
      </c>
      <c r="R73" s="158">
        <f t="shared" si="44"/>
        <v>1965326.9436525307</v>
      </c>
      <c r="S73" s="164">
        <f t="shared" si="45"/>
        <v>253590.57337452009</v>
      </c>
      <c r="V73" s="361"/>
      <c r="W73" s="159"/>
    </row>
    <row r="74" spans="1:25">
      <c r="A74" s="227" t="s">
        <v>515</v>
      </c>
      <c r="B74" s="227" t="s">
        <v>526</v>
      </c>
      <c r="C74" s="141">
        <f t="shared" si="30"/>
        <v>1400</v>
      </c>
      <c r="D74" s="141">
        <f t="shared" si="31"/>
        <v>146.99</v>
      </c>
      <c r="E74" s="141">
        <f t="shared" ca="1" si="32"/>
        <v>160.77339277881632</v>
      </c>
      <c r="F74" s="141">
        <f t="shared" ca="1" si="33"/>
        <v>13.783392778816307</v>
      </c>
      <c r="G74" s="512">
        <f t="shared" ca="1" si="34"/>
        <v>9.3770955703219983</v>
      </c>
      <c r="H74" s="141">
        <f t="shared" ca="1" si="35"/>
        <v>160.77339277881632</v>
      </c>
      <c r="I74" s="141">
        <f t="shared" ca="1" si="36"/>
        <v>171.21706260063286</v>
      </c>
      <c r="J74" s="141">
        <f t="shared" ca="1" si="37"/>
        <v>10.443669821816542</v>
      </c>
      <c r="K74" s="512">
        <f t="shared" ca="1" si="38"/>
        <v>6.4958944022437848</v>
      </c>
      <c r="L74" s="215" t="s">
        <v>506</v>
      </c>
      <c r="M74" s="390" t="s">
        <v>29</v>
      </c>
      <c r="N74" s="102" t="s">
        <v>422</v>
      </c>
      <c r="O74" s="100" t="s">
        <v>200</v>
      </c>
      <c r="P74" s="100" t="s">
        <v>419</v>
      </c>
      <c r="Q74" s="217">
        <f t="shared" si="43"/>
        <v>18480.634838709673</v>
      </c>
      <c r="R74" s="158">
        <f t="shared" si="44"/>
        <v>18480.634838709673</v>
      </c>
      <c r="S74" s="164">
        <f t="shared" si="45"/>
        <v>1026.7019354838708</v>
      </c>
      <c r="V74" s="361"/>
      <c r="W74" s="416"/>
    </row>
    <row r="75" spans="1:25">
      <c r="A75" s="227" t="s">
        <v>515</v>
      </c>
      <c r="B75" s="227" t="s">
        <v>526</v>
      </c>
      <c r="C75" s="141">
        <f t="shared" si="30"/>
        <v>1500</v>
      </c>
      <c r="D75" s="141">
        <f t="shared" si="31"/>
        <v>158.18799999999999</v>
      </c>
      <c r="E75" s="141">
        <f t="shared" ca="1" si="32"/>
        <v>172.16906369158892</v>
      </c>
      <c r="F75" s="141">
        <f t="shared" ca="1" si="33"/>
        <v>13.981063691588929</v>
      </c>
      <c r="G75" s="512">
        <f t="shared" ca="1" si="34"/>
        <v>8.8382580799990702</v>
      </c>
      <c r="H75" s="141">
        <f t="shared" ca="1" si="35"/>
        <v>172.16906369158892</v>
      </c>
      <c r="I75" s="141">
        <f t="shared" ca="1" si="36"/>
        <v>182.73256707210663</v>
      </c>
      <c r="J75" s="141">
        <f t="shared" ca="1" si="37"/>
        <v>10.563503380517716</v>
      </c>
      <c r="K75" s="512">
        <f t="shared" ca="1" si="38"/>
        <v>6.1355409351824113</v>
      </c>
      <c r="L75" s="215" t="s">
        <v>506</v>
      </c>
      <c r="M75" s="390" t="s">
        <v>29</v>
      </c>
      <c r="N75" s="102" t="s">
        <v>422</v>
      </c>
      <c r="O75" s="100" t="s">
        <v>200</v>
      </c>
      <c r="P75" s="100" t="s">
        <v>420</v>
      </c>
      <c r="Q75" s="217">
        <f t="shared" si="43"/>
        <v>348.08516129032262</v>
      </c>
      <c r="R75" s="158">
        <f t="shared" si="44"/>
        <v>348.08516129032262</v>
      </c>
      <c r="S75" s="164">
        <f t="shared" si="45"/>
        <v>22.100645161290323</v>
      </c>
      <c r="V75" s="361"/>
      <c r="W75" s="159"/>
    </row>
    <row r="76" spans="1:25">
      <c r="A76" s="227" t="s">
        <v>515</v>
      </c>
      <c r="B76" s="227" t="s">
        <v>526</v>
      </c>
      <c r="C76" s="141">
        <f t="shared" si="30"/>
        <v>1600</v>
      </c>
      <c r="D76" s="141">
        <f t="shared" si="31"/>
        <v>169.386</v>
      </c>
      <c r="E76" s="141">
        <f t="shared" ca="1" si="32"/>
        <v>183.56473460436152</v>
      </c>
      <c r="F76" s="141">
        <f t="shared" ca="1" si="33"/>
        <v>14.178734604361523</v>
      </c>
      <c r="G76" s="512">
        <f t="shared" ca="1" si="34"/>
        <v>8.3706649925976908</v>
      </c>
      <c r="H76" s="141">
        <f t="shared" ca="1" si="35"/>
        <v>183.56473460436152</v>
      </c>
      <c r="I76" s="141">
        <f t="shared" ca="1" si="36"/>
        <v>194.24807154358041</v>
      </c>
      <c r="J76" s="141">
        <f t="shared" ca="1" si="37"/>
        <v>10.68333693921889</v>
      </c>
      <c r="K76" s="512">
        <f t="shared" ca="1" si="38"/>
        <v>5.8199288453987457</v>
      </c>
      <c r="L76" s="215" t="s">
        <v>506</v>
      </c>
      <c r="M76" s="390" t="s">
        <v>29</v>
      </c>
      <c r="N76" s="102" t="s">
        <v>422</v>
      </c>
      <c r="O76" s="100" t="s">
        <v>195</v>
      </c>
      <c r="P76" s="417" t="s">
        <v>366</v>
      </c>
      <c r="Q76" s="217">
        <f t="shared" si="43"/>
        <v>-85106.12000000001</v>
      </c>
      <c r="R76" s="158">
        <f t="shared" si="44"/>
        <v>-85106.12000000001</v>
      </c>
      <c r="S76" s="164">
        <f t="shared" si="45"/>
        <v>340424.48000000004</v>
      </c>
      <c r="V76" s="361"/>
      <c r="W76" s="159"/>
    </row>
    <row r="77" spans="1:25">
      <c r="A77" s="227" t="s">
        <v>515</v>
      </c>
      <c r="B77" s="227" t="s">
        <v>526</v>
      </c>
      <c r="C77" s="141">
        <f t="shared" si="30"/>
        <v>2000</v>
      </c>
      <c r="D77" s="141">
        <f t="shared" si="31"/>
        <v>214.178</v>
      </c>
      <c r="E77" s="141">
        <f t="shared" ca="1" si="32"/>
        <v>229.1474182554519</v>
      </c>
      <c r="F77" s="141">
        <f t="shared" ca="1" si="33"/>
        <v>14.969418255451899</v>
      </c>
      <c r="G77" s="512">
        <f t="shared" ca="1" si="34"/>
        <v>6.9892417780779992</v>
      </c>
      <c r="H77" s="141">
        <f t="shared" ca="1" si="35"/>
        <v>229.1474182554519</v>
      </c>
      <c r="I77" s="141">
        <f t="shared" ca="1" si="36"/>
        <v>240.31008942947551</v>
      </c>
      <c r="J77" s="141">
        <f t="shared" ca="1" si="37"/>
        <v>11.162671174023615</v>
      </c>
      <c r="K77" s="512">
        <f t="shared" ca="1" si="38"/>
        <v>4.8713929482633525</v>
      </c>
      <c r="L77" s="215" t="s">
        <v>506</v>
      </c>
      <c r="M77" s="390" t="s">
        <v>29</v>
      </c>
      <c r="N77" s="102" t="s">
        <v>422</v>
      </c>
      <c r="O77" s="215" t="s">
        <v>195</v>
      </c>
      <c r="P77" s="417" t="s">
        <v>396</v>
      </c>
      <c r="Q77" s="217">
        <f t="shared" ca="1" si="43"/>
        <v>29933049.550171904</v>
      </c>
      <c r="R77" s="158">
        <f t="shared" ca="1" si="44"/>
        <v>29748780.433388077</v>
      </c>
      <c r="S77" s="164">
        <f t="shared" si="45"/>
        <v>232417497.86607584</v>
      </c>
      <c r="V77" s="361"/>
      <c r="W77" s="159"/>
    </row>
    <row r="78" spans="1:25">
      <c r="A78" s="337" t="s">
        <v>515</v>
      </c>
      <c r="B78" s="337" t="s">
        <v>526</v>
      </c>
      <c r="C78" s="142">
        <f t="shared" si="30"/>
        <v>2600</v>
      </c>
      <c r="D78" s="142">
        <f t="shared" si="31"/>
        <v>281.36599999999999</v>
      </c>
      <c r="E78" s="142">
        <f t="shared" ca="1" si="32"/>
        <v>297.52144373208745</v>
      </c>
      <c r="F78" s="142">
        <f t="shared" ca="1" si="33"/>
        <v>16.155443732087463</v>
      </c>
      <c r="G78" s="513">
        <f t="shared" ca="1" si="34"/>
        <v>5.7417896021862855</v>
      </c>
      <c r="H78" s="142">
        <f t="shared" ca="1" si="35"/>
        <v>297.52144373208745</v>
      </c>
      <c r="I78" s="142">
        <f t="shared" ca="1" si="36"/>
        <v>309.40311625831816</v>
      </c>
      <c r="J78" s="142">
        <f t="shared" ca="1" si="37"/>
        <v>11.881672526230716</v>
      </c>
      <c r="K78" s="513">
        <f t="shared" ca="1" si="38"/>
        <v>3.9935516503240494</v>
      </c>
      <c r="L78" s="215" t="s">
        <v>506</v>
      </c>
      <c r="M78" s="390" t="s">
        <v>29</v>
      </c>
      <c r="N78" s="102" t="s">
        <v>422</v>
      </c>
      <c r="O78" s="215" t="s">
        <v>195</v>
      </c>
      <c r="P78" s="417" t="s">
        <v>394</v>
      </c>
      <c r="Q78" s="217">
        <f t="shared" ca="1" si="43"/>
        <v>53125442.565567613</v>
      </c>
      <c r="R78" s="158">
        <f t="shared" ca="1" si="44"/>
        <v>52740050.509268805</v>
      </c>
      <c r="S78" s="164">
        <f t="shared" si="45"/>
        <v>484809660.2077716</v>
      </c>
      <c r="V78" s="361"/>
      <c r="W78" s="159"/>
    </row>
    <row r="79" spans="1:25">
      <c r="A79" s="402" t="s">
        <v>517</v>
      </c>
      <c r="B79" s="353"/>
      <c r="C79" s="353"/>
      <c r="D79" s="353"/>
      <c r="E79" s="10"/>
      <c r="F79" s="353"/>
      <c r="G79" s="523"/>
      <c r="H79" s="10"/>
      <c r="I79" s="10"/>
      <c r="J79" s="353"/>
      <c r="K79" s="526"/>
      <c r="L79" s="215" t="s">
        <v>506</v>
      </c>
      <c r="M79" s="390" t="s">
        <v>29</v>
      </c>
      <c r="N79" s="102" t="s">
        <v>422</v>
      </c>
      <c r="O79" s="215" t="s">
        <v>195</v>
      </c>
      <c r="P79" s="417" t="s">
        <v>397</v>
      </c>
      <c r="Q79" s="217">
        <f t="shared" ca="1" si="43"/>
        <v>30523296.976270311</v>
      </c>
      <c r="R79" s="158">
        <f t="shared" ca="1" si="44"/>
        <v>30335394.271411575</v>
      </c>
      <c r="S79" s="164">
        <f t="shared" si="45"/>
        <v>237000520.04247469</v>
      </c>
      <c r="V79" s="361"/>
      <c r="W79" s="159"/>
    </row>
    <row r="80" spans="1:25">
      <c r="A80" s="403" t="str">
        <f>"The average residential customer uses "&amp;TEXT(C$22,"#,###")&amp;" kilowatt hours per month"</f>
        <v>The average residential customer uses 1,200 kilowatt hours per month</v>
      </c>
      <c r="B80" s="143"/>
      <c r="C80" s="143"/>
      <c r="D80" s="143"/>
      <c r="E80" s="159"/>
      <c r="F80" s="143"/>
      <c r="G80" s="524"/>
      <c r="H80" s="159"/>
      <c r="I80" s="159"/>
      <c r="J80" s="143"/>
      <c r="K80" s="527"/>
      <c r="L80" s="215" t="s">
        <v>506</v>
      </c>
      <c r="M80" s="390" t="s">
        <v>29</v>
      </c>
      <c r="N80" s="102" t="s">
        <v>422</v>
      </c>
      <c r="O80" s="215" t="s">
        <v>195</v>
      </c>
      <c r="P80" s="417" t="s">
        <v>395</v>
      </c>
      <c r="Q80" s="217">
        <f t="shared" ca="1" si="43"/>
        <v>72694316.631505981</v>
      </c>
      <c r="R80" s="158">
        <f t="shared" ca="1" si="44"/>
        <v>72166964.560353354</v>
      </c>
      <c r="S80" s="164">
        <f t="shared" si="45"/>
        <v>663390368.96793199</v>
      </c>
      <c r="V80" s="361"/>
      <c r="W80" s="159"/>
    </row>
    <row r="81" spans="1:23">
      <c r="A81" s="393" t="s">
        <v>518</v>
      </c>
      <c r="B81" s="159"/>
      <c r="C81" s="159"/>
      <c r="D81" s="159"/>
      <c r="E81" s="159"/>
      <c r="F81" s="143"/>
      <c r="G81" s="524"/>
      <c r="H81" s="159"/>
      <c r="I81" s="159"/>
      <c r="J81" s="143"/>
      <c r="K81" s="527"/>
      <c r="L81" s="216" t="s">
        <v>506</v>
      </c>
      <c r="M81" s="450" t="s">
        <v>29</v>
      </c>
      <c r="N81" s="150" t="s">
        <v>422</v>
      </c>
      <c r="O81" s="216" t="s">
        <v>195</v>
      </c>
      <c r="P81" s="418" t="s">
        <v>168</v>
      </c>
      <c r="Q81" s="218">
        <f t="shared" si="43"/>
        <v>5660946.3060093932</v>
      </c>
      <c r="R81" s="158">
        <f t="shared" si="44"/>
        <v>5660946.3060093932</v>
      </c>
      <c r="S81" s="164">
        <f t="shared" si="45"/>
        <v>0</v>
      </c>
      <c r="V81" s="361"/>
      <c r="W81" s="159"/>
    </row>
    <row r="82" spans="1:23">
      <c r="A82" s="338" t="s">
        <v>523</v>
      </c>
      <c r="B82" s="354"/>
      <c r="C82" s="354"/>
      <c r="D82" s="354"/>
      <c r="E82" s="404"/>
      <c r="F82" s="354"/>
      <c r="G82" s="525"/>
      <c r="H82" s="404"/>
      <c r="I82" s="404"/>
      <c r="J82" s="354"/>
      <c r="K82" s="528"/>
    </row>
    <row r="83" spans="1:23">
      <c r="A83" s="350" t="s">
        <v>516</v>
      </c>
      <c r="B83" s="350" t="s">
        <v>524</v>
      </c>
      <c r="C83" s="268">
        <f t="shared" ref="C83:C103" si="46">C8</f>
        <v>0</v>
      </c>
      <c r="D83" s="268">
        <f t="shared" ref="D83:D103" si="47">Q$19+IF(C83&lt;=600,C83*Q$23,600*Q$23+(C83-600)*Q$24)</f>
        <v>7.75</v>
      </c>
      <c r="E83" s="268">
        <f t="shared" ref="E83:E103" ca="1" si="48">Q$36+IF(C83&lt;=600,C83*Q$40,600*Q$40+(C83-600)*Q$42)</f>
        <v>7.75</v>
      </c>
      <c r="F83" s="268">
        <f t="shared" ref="F83:F103" ca="1" si="49">E83-D83</f>
        <v>0</v>
      </c>
      <c r="G83" s="517">
        <f t="shared" ref="G83:G103" ca="1" si="50">F83/D83*100</f>
        <v>0</v>
      </c>
      <c r="H83" s="268">
        <f ca="1">E83</f>
        <v>7.75</v>
      </c>
      <c r="I83" s="268">
        <f t="shared" ref="I83:I103" ca="1" si="51">Q$60+IF(C83&lt;=600,C83*Q$64,600*Q$64+(C83-600)*Q$66)</f>
        <v>7.75</v>
      </c>
      <c r="J83" s="268">
        <f t="shared" ref="J83:J103" ca="1" si="52">I83-H83</f>
        <v>0</v>
      </c>
      <c r="K83" s="517">
        <f t="shared" ref="K83:K103" ca="1" si="53">J83/H83*100</f>
        <v>0</v>
      </c>
      <c r="Q83" s="561" t="s">
        <v>215</v>
      </c>
      <c r="R83" s="441"/>
    </row>
    <row r="84" spans="1:23">
      <c r="A84" s="227" t="s">
        <v>516</v>
      </c>
      <c r="B84" s="227" t="s">
        <v>524</v>
      </c>
      <c r="C84" s="141">
        <f t="shared" si="46"/>
        <v>50</v>
      </c>
      <c r="D84" s="141">
        <f t="shared" si="47"/>
        <v>11.888</v>
      </c>
      <c r="E84" s="141">
        <f t="shared" ca="1" si="48"/>
        <v>13.0585</v>
      </c>
      <c r="F84" s="141">
        <f t="shared" ca="1" si="49"/>
        <v>1.1705000000000005</v>
      </c>
      <c r="G84" s="512">
        <f t="shared" ca="1" si="50"/>
        <v>9.8460632570659534</v>
      </c>
      <c r="H84" s="141">
        <f t="shared" ref="H84:H103" ca="1" si="54">E84</f>
        <v>13.0585</v>
      </c>
      <c r="I84" s="141">
        <f t="shared" ca="1" si="51"/>
        <v>14.189499999999999</v>
      </c>
      <c r="J84" s="141">
        <f t="shared" ca="1" si="52"/>
        <v>1.1309999999999985</v>
      </c>
      <c r="K84" s="512">
        <f t="shared" ca="1" si="53"/>
        <v>8.6610253857640505</v>
      </c>
      <c r="Q84" s="562" t="s">
        <v>501</v>
      </c>
      <c r="R84" s="560">
        <f ca="1">SUM(R48:R57)-Q34</f>
        <v>0</v>
      </c>
    </row>
    <row r="85" spans="1:23">
      <c r="A85" s="227" t="s">
        <v>516</v>
      </c>
      <c r="B85" s="227" t="s">
        <v>524</v>
      </c>
      <c r="C85" s="141">
        <f t="shared" si="46"/>
        <v>100</v>
      </c>
      <c r="D85" s="141">
        <f t="shared" si="47"/>
        <v>16.026</v>
      </c>
      <c r="E85" s="141">
        <f t="shared" ca="1" si="48"/>
        <v>18.367000000000001</v>
      </c>
      <c r="F85" s="141">
        <f t="shared" ca="1" si="49"/>
        <v>2.3410000000000011</v>
      </c>
      <c r="G85" s="512">
        <f t="shared" ca="1" si="50"/>
        <v>14.607512791713473</v>
      </c>
      <c r="H85" s="141">
        <f t="shared" ca="1" si="54"/>
        <v>18.367000000000001</v>
      </c>
      <c r="I85" s="141">
        <f t="shared" ca="1" si="51"/>
        <v>20.628999999999998</v>
      </c>
      <c r="J85" s="141">
        <f t="shared" ca="1" si="52"/>
        <v>2.2619999999999969</v>
      </c>
      <c r="K85" s="512">
        <f t="shared" ca="1" si="53"/>
        <v>12.315565960690352</v>
      </c>
      <c r="Q85" s="563" t="s">
        <v>503</v>
      </c>
      <c r="R85" s="548">
        <f ca="1">SUM(R72:R81)-Q58</f>
        <v>0</v>
      </c>
    </row>
    <row r="86" spans="1:23">
      <c r="A86" s="227" t="s">
        <v>516</v>
      </c>
      <c r="B86" s="227" t="s">
        <v>524</v>
      </c>
      <c r="C86" s="141">
        <f t="shared" si="46"/>
        <v>150</v>
      </c>
      <c r="D86" s="141">
        <f t="shared" si="47"/>
        <v>20.164000000000001</v>
      </c>
      <c r="E86" s="141">
        <f t="shared" ca="1" si="48"/>
        <v>23.6755</v>
      </c>
      <c r="F86" s="141">
        <f t="shared" ca="1" si="49"/>
        <v>3.5114999999999981</v>
      </c>
      <c r="G86" s="512">
        <f t="shared" ca="1" si="50"/>
        <v>17.414699464391976</v>
      </c>
      <c r="H86" s="141">
        <f t="shared" ca="1" si="54"/>
        <v>23.6755</v>
      </c>
      <c r="I86" s="141">
        <f t="shared" ca="1" si="51"/>
        <v>27.068499999999997</v>
      </c>
      <c r="J86" s="141">
        <f t="shared" ca="1" si="52"/>
        <v>3.3929999999999971</v>
      </c>
      <c r="K86" s="512">
        <f t="shared" ca="1" si="53"/>
        <v>14.331270722899186</v>
      </c>
    </row>
    <row r="87" spans="1:23">
      <c r="A87" s="227" t="s">
        <v>516</v>
      </c>
      <c r="B87" s="227" t="s">
        <v>524</v>
      </c>
      <c r="C87" s="141">
        <f t="shared" si="46"/>
        <v>200</v>
      </c>
      <c r="D87" s="141">
        <f t="shared" si="47"/>
        <v>24.302</v>
      </c>
      <c r="E87" s="141">
        <f t="shared" ca="1" si="48"/>
        <v>28.984000000000002</v>
      </c>
      <c r="F87" s="141">
        <f t="shared" ca="1" si="49"/>
        <v>4.6820000000000022</v>
      </c>
      <c r="G87" s="512">
        <f t="shared" ca="1" si="50"/>
        <v>19.265904040819695</v>
      </c>
      <c r="H87" s="141">
        <f t="shared" ca="1" si="54"/>
        <v>28.984000000000002</v>
      </c>
      <c r="I87" s="141">
        <f t="shared" ca="1" si="51"/>
        <v>33.507999999999996</v>
      </c>
      <c r="J87" s="141">
        <f t="shared" ca="1" si="52"/>
        <v>4.5239999999999938</v>
      </c>
      <c r="K87" s="512">
        <f t="shared" ca="1" si="53"/>
        <v>15.608611647805665</v>
      </c>
    </row>
    <row r="88" spans="1:23">
      <c r="A88" s="227" t="s">
        <v>516</v>
      </c>
      <c r="B88" s="227" t="s">
        <v>524</v>
      </c>
      <c r="C88" s="141">
        <f t="shared" si="46"/>
        <v>300</v>
      </c>
      <c r="D88" s="141">
        <f t="shared" si="47"/>
        <v>32.578000000000003</v>
      </c>
      <c r="E88" s="141">
        <f t="shared" ca="1" si="48"/>
        <v>39.600999999999999</v>
      </c>
      <c r="F88" s="141">
        <f t="shared" ca="1" si="49"/>
        <v>7.0229999999999961</v>
      </c>
      <c r="G88" s="512">
        <f t="shared" ca="1" si="50"/>
        <v>21.557492786543055</v>
      </c>
      <c r="H88" s="141">
        <f t="shared" ca="1" si="54"/>
        <v>39.600999999999999</v>
      </c>
      <c r="I88" s="141">
        <f t="shared" ca="1" si="51"/>
        <v>46.386999999999993</v>
      </c>
      <c r="J88" s="141">
        <f t="shared" ca="1" si="52"/>
        <v>6.7859999999999943</v>
      </c>
      <c r="K88" s="512">
        <f t="shared" ca="1" si="53"/>
        <v>17.135930910835569</v>
      </c>
    </row>
    <row r="89" spans="1:23">
      <c r="A89" s="227" t="s">
        <v>516</v>
      </c>
      <c r="B89" s="227" t="s">
        <v>524</v>
      </c>
      <c r="C89" s="141">
        <f t="shared" si="46"/>
        <v>400</v>
      </c>
      <c r="D89" s="141">
        <f t="shared" si="47"/>
        <v>40.853999999999999</v>
      </c>
      <c r="E89" s="141">
        <f t="shared" ca="1" si="48"/>
        <v>50.218000000000004</v>
      </c>
      <c r="F89" s="141">
        <f t="shared" ca="1" si="49"/>
        <v>9.3640000000000043</v>
      </c>
      <c r="G89" s="512">
        <f t="shared" ca="1" si="50"/>
        <v>22.920644245361544</v>
      </c>
      <c r="H89" s="141">
        <f t="shared" ca="1" si="54"/>
        <v>50.218000000000004</v>
      </c>
      <c r="I89" s="141">
        <f t="shared" ca="1" si="51"/>
        <v>59.265999999999998</v>
      </c>
      <c r="J89" s="141">
        <f t="shared" ca="1" si="52"/>
        <v>9.0479999999999947</v>
      </c>
      <c r="K89" s="512">
        <f t="shared" ca="1" si="53"/>
        <v>18.017443944402395</v>
      </c>
    </row>
    <row r="90" spans="1:23">
      <c r="A90" s="337" t="s">
        <v>516</v>
      </c>
      <c r="B90" s="337" t="s">
        <v>524</v>
      </c>
      <c r="C90" s="142">
        <f t="shared" si="46"/>
        <v>500</v>
      </c>
      <c r="D90" s="142">
        <f t="shared" si="47"/>
        <v>49.13</v>
      </c>
      <c r="E90" s="142">
        <f t="shared" ca="1" si="48"/>
        <v>60.835000000000001</v>
      </c>
      <c r="F90" s="142">
        <f t="shared" ca="1" si="49"/>
        <v>11.704999999999998</v>
      </c>
      <c r="G90" s="513">
        <f t="shared" ca="1" si="50"/>
        <v>23.824547119886009</v>
      </c>
      <c r="H90" s="142">
        <f t="shared" ca="1" si="54"/>
        <v>60.835000000000001</v>
      </c>
      <c r="I90" s="142">
        <f t="shared" ca="1" si="51"/>
        <v>72.144999999999996</v>
      </c>
      <c r="J90" s="142">
        <f t="shared" ca="1" si="52"/>
        <v>11.309999999999995</v>
      </c>
      <c r="K90" s="513">
        <f t="shared" ca="1" si="53"/>
        <v>18.591271472014455</v>
      </c>
    </row>
    <row r="91" spans="1:23">
      <c r="A91" s="227" t="s">
        <v>516</v>
      </c>
      <c r="B91" s="227" t="s">
        <v>524</v>
      </c>
      <c r="C91" s="141">
        <f t="shared" si="46"/>
        <v>600</v>
      </c>
      <c r="D91" s="141">
        <f t="shared" si="47"/>
        <v>57.405999999999999</v>
      </c>
      <c r="E91" s="141">
        <f t="shared" ca="1" si="48"/>
        <v>71.451999999999998</v>
      </c>
      <c r="F91" s="141">
        <f t="shared" ca="1" si="49"/>
        <v>14.045999999999999</v>
      </c>
      <c r="G91" s="512">
        <f t="shared" ca="1" si="50"/>
        <v>24.467825662822701</v>
      </c>
      <c r="H91" s="141">
        <f t="shared" ca="1" si="54"/>
        <v>71.451999999999998</v>
      </c>
      <c r="I91" s="141">
        <f t="shared" ca="1" si="51"/>
        <v>85.023999999999987</v>
      </c>
      <c r="J91" s="141">
        <f t="shared" ca="1" si="52"/>
        <v>13.571999999999989</v>
      </c>
      <c r="K91" s="512">
        <f t="shared" ca="1" si="53"/>
        <v>18.994569781111782</v>
      </c>
    </row>
    <row r="92" spans="1:23">
      <c r="A92" s="227" t="s">
        <v>516</v>
      </c>
      <c r="B92" s="227" t="s">
        <v>524</v>
      </c>
      <c r="C92" s="141">
        <f t="shared" si="46"/>
        <v>700</v>
      </c>
      <c r="D92" s="141">
        <f t="shared" si="47"/>
        <v>68.603999999999999</v>
      </c>
      <c r="E92" s="141">
        <f t="shared" ca="1" si="48"/>
        <v>83.53</v>
      </c>
      <c r="F92" s="141">
        <f t="shared" ca="1" si="49"/>
        <v>14.926000000000002</v>
      </c>
      <c r="G92" s="512">
        <f t="shared" ca="1" si="50"/>
        <v>21.75674887761647</v>
      </c>
      <c r="H92" s="141">
        <f t="shared" ca="1" si="54"/>
        <v>83.53</v>
      </c>
      <c r="I92" s="141">
        <f t="shared" ca="1" si="51"/>
        <v>97.902999999999992</v>
      </c>
      <c r="J92" s="141">
        <f t="shared" ca="1" si="52"/>
        <v>14.37299999999999</v>
      </c>
      <c r="K92" s="512">
        <f t="shared" ca="1" si="53"/>
        <v>17.20699150005985</v>
      </c>
    </row>
    <row r="93" spans="1:23">
      <c r="A93" s="227" t="s">
        <v>516</v>
      </c>
      <c r="B93" s="227" t="s">
        <v>524</v>
      </c>
      <c r="C93" s="141">
        <f t="shared" si="46"/>
        <v>800</v>
      </c>
      <c r="D93" s="141">
        <f t="shared" si="47"/>
        <v>79.801999999999992</v>
      </c>
      <c r="E93" s="141">
        <f t="shared" ca="1" si="48"/>
        <v>95.608000000000004</v>
      </c>
      <c r="F93" s="141">
        <f t="shared" ca="1" si="49"/>
        <v>15.806000000000012</v>
      </c>
      <c r="G93" s="512">
        <f t="shared" ca="1" si="50"/>
        <v>19.806521139821072</v>
      </c>
      <c r="H93" s="141">
        <f t="shared" ca="1" si="54"/>
        <v>95.608000000000004</v>
      </c>
      <c r="I93" s="141">
        <f t="shared" ca="1" si="51"/>
        <v>110.78199999999998</v>
      </c>
      <c r="J93" s="141">
        <f t="shared" ca="1" si="52"/>
        <v>15.173999999999978</v>
      </c>
      <c r="K93" s="512">
        <f t="shared" ca="1" si="53"/>
        <v>15.871056815329238</v>
      </c>
    </row>
    <row r="94" spans="1:23">
      <c r="A94" s="227" t="s">
        <v>516</v>
      </c>
      <c r="B94" s="227" t="s">
        <v>524</v>
      </c>
      <c r="C94" s="141">
        <f t="shared" si="46"/>
        <v>900</v>
      </c>
      <c r="D94" s="141">
        <f t="shared" si="47"/>
        <v>91</v>
      </c>
      <c r="E94" s="141">
        <f t="shared" ca="1" si="48"/>
        <v>107.68600000000001</v>
      </c>
      <c r="F94" s="141">
        <f t="shared" ca="1" si="49"/>
        <v>16.686000000000007</v>
      </c>
      <c r="G94" s="512">
        <f t="shared" ca="1" si="50"/>
        <v>18.336263736263746</v>
      </c>
      <c r="H94" s="141">
        <f t="shared" ca="1" si="54"/>
        <v>107.68600000000001</v>
      </c>
      <c r="I94" s="141">
        <f t="shared" ca="1" si="51"/>
        <v>123.66099999999997</v>
      </c>
      <c r="J94" s="141">
        <f t="shared" ca="1" si="52"/>
        <v>15.974999999999966</v>
      </c>
      <c r="K94" s="512">
        <f t="shared" ca="1" si="53"/>
        <v>14.834797466708732</v>
      </c>
    </row>
    <row r="95" spans="1:23">
      <c r="A95" s="227" t="s">
        <v>516</v>
      </c>
      <c r="B95" s="227" t="s">
        <v>524</v>
      </c>
      <c r="C95" s="141">
        <f t="shared" si="46"/>
        <v>1000</v>
      </c>
      <c r="D95" s="141">
        <f t="shared" si="47"/>
        <v>102.19800000000001</v>
      </c>
      <c r="E95" s="141">
        <f t="shared" ca="1" si="48"/>
        <v>119.764</v>
      </c>
      <c r="F95" s="141">
        <f t="shared" ca="1" si="49"/>
        <v>17.565999999999988</v>
      </c>
      <c r="G95" s="512">
        <f t="shared" ca="1" si="50"/>
        <v>17.188203291649533</v>
      </c>
      <c r="H95" s="141">
        <f t="shared" ca="1" si="54"/>
        <v>119.764</v>
      </c>
      <c r="I95" s="141">
        <f t="shared" ca="1" si="51"/>
        <v>136.54</v>
      </c>
      <c r="J95" s="141">
        <f t="shared" ca="1" si="52"/>
        <v>16.775999999999996</v>
      </c>
      <c r="K95" s="512">
        <f t="shared" ca="1" si="53"/>
        <v>14.007548178083562</v>
      </c>
    </row>
    <row r="96" spans="1:23">
      <c r="A96" s="227" t="s">
        <v>516</v>
      </c>
      <c r="B96" s="227" t="s">
        <v>524</v>
      </c>
      <c r="C96" s="141">
        <f t="shared" si="46"/>
        <v>1100</v>
      </c>
      <c r="D96" s="141">
        <f t="shared" si="47"/>
        <v>113.39599999999999</v>
      </c>
      <c r="E96" s="141">
        <f t="shared" ca="1" si="48"/>
        <v>131.84199999999998</v>
      </c>
      <c r="F96" s="141">
        <f t="shared" ca="1" si="49"/>
        <v>18.445999999999998</v>
      </c>
      <c r="G96" s="512">
        <f t="shared" ca="1" si="50"/>
        <v>16.266887720907263</v>
      </c>
      <c r="H96" s="141">
        <f t="shared" ca="1" si="54"/>
        <v>131.84199999999998</v>
      </c>
      <c r="I96" s="141">
        <f t="shared" ca="1" si="51"/>
        <v>149.41899999999998</v>
      </c>
      <c r="J96" s="141">
        <f t="shared" ca="1" si="52"/>
        <v>17.576999999999998</v>
      </c>
      <c r="K96" s="512">
        <f t="shared" ca="1" si="53"/>
        <v>13.331866931630284</v>
      </c>
    </row>
    <row r="97" spans="1:11">
      <c r="A97" s="336" t="s">
        <v>516</v>
      </c>
      <c r="B97" s="336" t="s">
        <v>524</v>
      </c>
      <c r="C97" s="340">
        <f t="shared" si="46"/>
        <v>1200</v>
      </c>
      <c r="D97" s="340">
        <f t="shared" si="47"/>
        <v>124.59399999999999</v>
      </c>
      <c r="E97" s="340">
        <f t="shared" ca="1" si="48"/>
        <v>143.92000000000002</v>
      </c>
      <c r="F97" s="340">
        <f t="shared" ca="1" si="49"/>
        <v>19.326000000000022</v>
      </c>
      <c r="G97" s="514">
        <f t="shared" ca="1" si="50"/>
        <v>15.511180313658782</v>
      </c>
      <c r="H97" s="340">
        <f t="shared" ca="1" si="54"/>
        <v>143.92000000000002</v>
      </c>
      <c r="I97" s="340">
        <f t="shared" ca="1" si="51"/>
        <v>162.29799999999997</v>
      </c>
      <c r="J97" s="340">
        <f t="shared" ca="1" si="52"/>
        <v>18.377999999999957</v>
      </c>
      <c r="K97" s="514">
        <f t="shared" ca="1" si="53"/>
        <v>12.76959421901053</v>
      </c>
    </row>
    <row r="98" spans="1:11">
      <c r="A98" s="227" t="s">
        <v>516</v>
      </c>
      <c r="B98" s="227" t="s">
        <v>524</v>
      </c>
      <c r="C98" s="141">
        <f t="shared" si="46"/>
        <v>1300</v>
      </c>
      <c r="D98" s="141">
        <f t="shared" si="47"/>
        <v>135.792</v>
      </c>
      <c r="E98" s="141">
        <f t="shared" ca="1" si="48"/>
        <v>155.99799999999999</v>
      </c>
      <c r="F98" s="141">
        <f t="shared" ca="1" si="49"/>
        <v>20.205999999999989</v>
      </c>
      <c r="G98" s="512">
        <f t="shared" ca="1" si="50"/>
        <v>14.880110757629305</v>
      </c>
      <c r="H98" s="141">
        <f t="shared" ca="1" si="54"/>
        <v>155.99799999999999</v>
      </c>
      <c r="I98" s="141">
        <f t="shared" ca="1" si="51"/>
        <v>175.17699999999996</v>
      </c>
      <c r="J98" s="141">
        <f t="shared" ca="1" si="52"/>
        <v>19.178999999999974</v>
      </c>
      <c r="K98" s="512">
        <f t="shared" ca="1" si="53"/>
        <v>12.294388389594722</v>
      </c>
    </row>
    <row r="99" spans="1:11">
      <c r="A99" s="227" t="s">
        <v>516</v>
      </c>
      <c r="B99" s="227" t="s">
        <v>524</v>
      </c>
      <c r="C99" s="141">
        <f t="shared" si="46"/>
        <v>1400</v>
      </c>
      <c r="D99" s="141">
        <f t="shared" si="47"/>
        <v>146.99</v>
      </c>
      <c r="E99" s="141">
        <f t="shared" ca="1" si="48"/>
        <v>168.07599999999999</v>
      </c>
      <c r="F99" s="141">
        <f t="shared" ca="1" si="49"/>
        <v>21.085999999999984</v>
      </c>
      <c r="G99" s="512">
        <f t="shared" ca="1" si="50"/>
        <v>14.345193550581662</v>
      </c>
      <c r="H99" s="141">
        <f t="shared" ca="1" si="54"/>
        <v>168.07599999999999</v>
      </c>
      <c r="I99" s="141">
        <f t="shared" ca="1" si="51"/>
        <v>188.05599999999998</v>
      </c>
      <c r="J99" s="141">
        <f t="shared" ca="1" si="52"/>
        <v>19.97999999999999</v>
      </c>
      <c r="K99" s="512">
        <f t="shared" ca="1" si="53"/>
        <v>11.887479473571474</v>
      </c>
    </row>
    <row r="100" spans="1:11">
      <c r="A100" s="227" t="s">
        <v>516</v>
      </c>
      <c r="B100" s="227" t="s">
        <v>524</v>
      </c>
      <c r="C100" s="141">
        <f t="shared" si="46"/>
        <v>1500</v>
      </c>
      <c r="D100" s="141">
        <f t="shared" si="47"/>
        <v>158.18799999999999</v>
      </c>
      <c r="E100" s="141">
        <f t="shared" ca="1" si="48"/>
        <v>180.154</v>
      </c>
      <c r="F100" s="141">
        <f t="shared" ca="1" si="49"/>
        <v>21.966000000000008</v>
      </c>
      <c r="G100" s="512">
        <f t="shared" ca="1" si="50"/>
        <v>13.886009052519793</v>
      </c>
      <c r="H100" s="141">
        <f t="shared" ca="1" si="54"/>
        <v>180.154</v>
      </c>
      <c r="I100" s="141">
        <f t="shared" ca="1" si="51"/>
        <v>200.93499999999997</v>
      </c>
      <c r="J100" s="141">
        <f t="shared" ca="1" si="52"/>
        <v>20.780999999999977</v>
      </c>
      <c r="K100" s="512">
        <f t="shared" ca="1" si="53"/>
        <v>11.535131054542212</v>
      </c>
    </row>
    <row r="101" spans="1:11">
      <c r="A101" s="227" t="s">
        <v>516</v>
      </c>
      <c r="B101" s="227" t="s">
        <v>524</v>
      </c>
      <c r="C101" s="141">
        <f t="shared" si="46"/>
        <v>1600</v>
      </c>
      <c r="D101" s="141">
        <f t="shared" si="47"/>
        <v>169.386</v>
      </c>
      <c r="E101" s="141">
        <f t="shared" ca="1" si="48"/>
        <v>192.232</v>
      </c>
      <c r="F101" s="141">
        <f t="shared" ca="1" si="49"/>
        <v>22.846000000000004</v>
      </c>
      <c r="G101" s="512">
        <f t="shared" ca="1" si="50"/>
        <v>13.487537340748352</v>
      </c>
      <c r="H101" s="141">
        <f t="shared" ca="1" si="54"/>
        <v>192.232</v>
      </c>
      <c r="I101" s="141">
        <f t="shared" ca="1" si="51"/>
        <v>213.81399999999996</v>
      </c>
      <c r="J101" s="141">
        <f t="shared" ca="1" si="52"/>
        <v>21.581999999999965</v>
      </c>
      <c r="K101" s="512">
        <f t="shared" ca="1" si="53"/>
        <v>11.227058970410736</v>
      </c>
    </row>
    <row r="102" spans="1:11">
      <c r="A102" s="227" t="s">
        <v>516</v>
      </c>
      <c r="B102" s="227" t="s">
        <v>524</v>
      </c>
      <c r="C102" s="141">
        <f t="shared" si="46"/>
        <v>2000</v>
      </c>
      <c r="D102" s="141">
        <f t="shared" si="47"/>
        <v>214.178</v>
      </c>
      <c r="E102" s="141">
        <f t="shared" ca="1" si="48"/>
        <v>240.54399999999998</v>
      </c>
      <c r="F102" s="141">
        <f t="shared" ca="1" si="49"/>
        <v>26.365999999999985</v>
      </c>
      <c r="G102" s="512">
        <f t="shared" ca="1" si="50"/>
        <v>12.310321321517611</v>
      </c>
      <c r="H102" s="141">
        <f t="shared" ca="1" si="54"/>
        <v>240.54399999999998</v>
      </c>
      <c r="I102" s="141">
        <f t="shared" ca="1" si="51"/>
        <v>265.33</v>
      </c>
      <c r="J102" s="141">
        <f t="shared" ca="1" si="52"/>
        <v>24.786000000000001</v>
      </c>
      <c r="K102" s="512">
        <f t="shared" ca="1" si="53"/>
        <v>10.304143940401756</v>
      </c>
    </row>
    <row r="103" spans="1:11">
      <c r="A103" s="337" t="s">
        <v>516</v>
      </c>
      <c r="B103" s="337" t="s">
        <v>524</v>
      </c>
      <c r="C103" s="142">
        <f t="shared" si="46"/>
        <v>2600</v>
      </c>
      <c r="D103" s="142">
        <f t="shared" si="47"/>
        <v>281.36599999999999</v>
      </c>
      <c r="E103" s="142">
        <f t="shared" ca="1" si="48"/>
        <v>313.012</v>
      </c>
      <c r="F103" s="142">
        <f t="shared" ca="1" si="49"/>
        <v>31.646000000000015</v>
      </c>
      <c r="G103" s="513">
        <f t="shared" ca="1" si="50"/>
        <v>11.247272236162157</v>
      </c>
      <c r="H103" s="142">
        <f t="shared" ca="1" si="54"/>
        <v>313.012</v>
      </c>
      <c r="I103" s="142">
        <f t="shared" ca="1" si="51"/>
        <v>342.60399999999998</v>
      </c>
      <c r="J103" s="142">
        <f t="shared" ca="1" si="52"/>
        <v>29.591999999999985</v>
      </c>
      <c r="K103" s="513">
        <f t="shared" ca="1" si="53"/>
        <v>9.4539506472595249</v>
      </c>
    </row>
    <row r="104" spans="1:11">
      <c r="A104" s="402" t="s">
        <v>517</v>
      </c>
      <c r="B104" s="353"/>
      <c r="C104" s="353"/>
      <c r="D104" s="353"/>
      <c r="E104" s="10"/>
      <c r="F104" s="353"/>
      <c r="G104" s="523"/>
      <c r="H104" s="10"/>
      <c r="I104" s="10"/>
      <c r="J104" s="353"/>
      <c r="K104" s="526"/>
    </row>
    <row r="105" spans="1:11">
      <c r="A105" s="403" t="str">
        <f>"The average residential customer uses "&amp;TEXT(C$22,"#,###")&amp;" kilowatt hours per month"</f>
        <v>The average residential customer uses 1,200 kilowatt hours per month</v>
      </c>
      <c r="B105" s="143"/>
      <c r="C105" s="143"/>
      <c r="D105" s="143"/>
      <c r="E105" s="159"/>
      <c r="F105" s="143"/>
      <c r="G105" s="524"/>
      <c r="H105" s="159"/>
      <c r="I105" s="159"/>
      <c r="J105" s="143"/>
      <c r="K105" s="527"/>
    </row>
    <row r="106" spans="1:11">
      <c r="A106" s="393" t="s">
        <v>518</v>
      </c>
      <c r="B106" s="159"/>
      <c r="C106" s="159"/>
      <c r="D106" s="159"/>
      <c r="E106" s="159"/>
      <c r="F106" s="143"/>
      <c r="G106" s="524"/>
      <c r="H106" s="159"/>
      <c r="I106" s="159"/>
      <c r="J106" s="143"/>
      <c r="K106" s="527"/>
    </row>
    <row r="107" spans="1:11">
      <c r="A107" s="338" t="s">
        <v>523</v>
      </c>
      <c r="B107" s="354"/>
      <c r="C107" s="354"/>
      <c r="D107" s="354"/>
      <c r="E107" s="404"/>
      <c r="F107" s="354"/>
      <c r="G107" s="525"/>
      <c r="H107" s="404"/>
      <c r="I107" s="404"/>
      <c r="J107" s="354"/>
      <c r="K107" s="528"/>
    </row>
    <row r="108" spans="1:11">
      <c r="A108" s="350" t="s">
        <v>516</v>
      </c>
      <c r="B108" s="350" t="s">
        <v>525</v>
      </c>
      <c r="C108" s="268">
        <f t="shared" ref="C108:C128" si="55">C8</f>
        <v>0</v>
      </c>
      <c r="D108" s="268">
        <f t="shared" ref="D108:D128" si="56">Q$19+IF(C108&lt;=600,C108*Q$23,600*Q$23+(C108-600)*Q$24)</f>
        <v>7.75</v>
      </c>
      <c r="E108" s="268">
        <f t="shared" ref="E108:E128" ca="1" si="57">Q$36+IF(C108&lt;=600,C108*Q$41,600*Q$41+(C108-600)*Q$43)</f>
        <v>7.75</v>
      </c>
      <c r="F108" s="268">
        <f t="shared" ref="F108:F128" ca="1" si="58">E108-D108</f>
        <v>0</v>
      </c>
      <c r="G108" s="517">
        <f t="shared" ref="G108:G128" ca="1" si="59">F108/D108*100</f>
        <v>0</v>
      </c>
      <c r="H108" s="268">
        <f t="shared" ref="H108:H128" ca="1" si="60">E108</f>
        <v>7.75</v>
      </c>
      <c r="I108" s="268">
        <f t="shared" ref="I108:I128" ca="1" si="61">Q$60+IF(C108&lt;=600,C108*Q$65,600*Q$65+(C108-600)*Q$67)</f>
        <v>7.75</v>
      </c>
      <c r="J108" s="268">
        <f t="shared" ref="J108:J128" ca="1" si="62">I108-H108</f>
        <v>0</v>
      </c>
      <c r="K108" s="517">
        <f t="shared" ref="K108:K128" ca="1" si="63">J108/H108*100</f>
        <v>0</v>
      </c>
    </row>
    <row r="109" spans="1:11">
      <c r="A109" s="227" t="s">
        <v>516</v>
      </c>
      <c r="B109" s="227" t="s">
        <v>525</v>
      </c>
      <c r="C109" s="141">
        <f t="shared" si="55"/>
        <v>50</v>
      </c>
      <c r="D109" s="141">
        <f t="shared" si="56"/>
        <v>11.888</v>
      </c>
      <c r="E109" s="141">
        <f t="shared" ca="1" si="57"/>
        <v>12.577999999999999</v>
      </c>
      <c r="F109" s="141">
        <f t="shared" ca="1" si="58"/>
        <v>0.6899999999999995</v>
      </c>
      <c r="G109" s="512">
        <f t="shared" ca="1" si="59"/>
        <v>5.8041722745625801</v>
      </c>
      <c r="H109" s="141">
        <f t="shared" ca="1" si="60"/>
        <v>12.577999999999999</v>
      </c>
      <c r="I109" s="141">
        <f t="shared" ca="1" si="61"/>
        <v>13.228999999999999</v>
      </c>
      <c r="J109" s="141">
        <f t="shared" ca="1" si="62"/>
        <v>0.6509999999999998</v>
      </c>
      <c r="K109" s="512">
        <f t="shared" ca="1" si="63"/>
        <v>5.1757036094768631</v>
      </c>
    </row>
    <row r="110" spans="1:11">
      <c r="A110" s="227" t="s">
        <v>516</v>
      </c>
      <c r="B110" s="227" t="s">
        <v>525</v>
      </c>
      <c r="C110" s="141">
        <f t="shared" si="55"/>
        <v>100</v>
      </c>
      <c r="D110" s="141">
        <f t="shared" si="56"/>
        <v>16.026</v>
      </c>
      <c r="E110" s="141">
        <f t="shared" ca="1" si="57"/>
        <v>17.405999999999999</v>
      </c>
      <c r="F110" s="141">
        <f t="shared" ca="1" si="58"/>
        <v>1.379999999999999</v>
      </c>
      <c r="G110" s="512">
        <f t="shared" ca="1" si="59"/>
        <v>8.6110071134406532</v>
      </c>
      <c r="H110" s="141">
        <f t="shared" ca="1" si="60"/>
        <v>17.405999999999999</v>
      </c>
      <c r="I110" s="141">
        <f t="shared" ca="1" si="61"/>
        <v>18.707999999999998</v>
      </c>
      <c r="J110" s="141">
        <f t="shared" ca="1" si="62"/>
        <v>1.3019999999999996</v>
      </c>
      <c r="K110" s="512">
        <f t="shared" ca="1" si="63"/>
        <v>7.4801792485349861</v>
      </c>
    </row>
    <row r="111" spans="1:11">
      <c r="A111" s="227" t="s">
        <v>516</v>
      </c>
      <c r="B111" s="227" t="s">
        <v>525</v>
      </c>
      <c r="C111" s="141">
        <f t="shared" si="55"/>
        <v>150</v>
      </c>
      <c r="D111" s="141">
        <f t="shared" si="56"/>
        <v>20.164000000000001</v>
      </c>
      <c r="E111" s="141">
        <f t="shared" ca="1" si="57"/>
        <v>22.234000000000002</v>
      </c>
      <c r="F111" s="141">
        <f t="shared" ca="1" si="58"/>
        <v>2.0700000000000003</v>
      </c>
      <c r="G111" s="512">
        <f t="shared" ca="1" si="59"/>
        <v>10.265820273755208</v>
      </c>
      <c r="H111" s="141">
        <f t="shared" ca="1" si="60"/>
        <v>22.234000000000002</v>
      </c>
      <c r="I111" s="141">
        <f t="shared" ca="1" si="61"/>
        <v>24.187000000000001</v>
      </c>
      <c r="J111" s="141">
        <f t="shared" ca="1" si="62"/>
        <v>1.9529999999999994</v>
      </c>
      <c r="K111" s="512">
        <f t="shared" ca="1" si="63"/>
        <v>8.783844562381935</v>
      </c>
    </row>
    <row r="112" spans="1:11">
      <c r="A112" s="227" t="s">
        <v>516</v>
      </c>
      <c r="B112" s="227" t="s">
        <v>525</v>
      </c>
      <c r="C112" s="141">
        <f t="shared" si="55"/>
        <v>200</v>
      </c>
      <c r="D112" s="141">
        <f t="shared" si="56"/>
        <v>24.302</v>
      </c>
      <c r="E112" s="141">
        <f t="shared" ca="1" si="57"/>
        <v>27.062000000000001</v>
      </c>
      <c r="F112" s="141">
        <f t="shared" ca="1" si="58"/>
        <v>2.7600000000000016</v>
      </c>
      <c r="G112" s="512">
        <f t="shared" ca="1" si="59"/>
        <v>11.357089951444333</v>
      </c>
      <c r="H112" s="141">
        <f t="shared" ca="1" si="60"/>
        <v>27.062000000000001</v>
      </c>
      <c r="I112" s="141">
        <f t="shared" ca="1" si="61"/>
        <v>29.666</v>
      </c>
      <c r="J112" s="141">
        <f t="shared" ca="1" si="62"/>
        <v>2.6039999999999992</v>
      </c>
      <c r="K112" s="512">
        <f t="shared" ca="1" si="63"/>
        <v>9.6223486808070327</v>
      </c>
    </row>
    <row r="113" spans="1:11">
      <c r="A113" s="227" t="s">
        <v>516</v>
      </c>
      <c r="B113" s="227" t="s">
        <v>525</v>
      </c>
      <c r="C113" s="141">
        <f t="shared" si="55"/>
        <v>300</v>
      </c>
      <c r="D113" s="141">
        <f t="shared" si="56"/>
        <v>32.578000000000003</v>
      </c>
      <c r="E113" s="141">
        <f t="shared" ca="1" si="57"/>
        <v>36.718000000000004</v>
      </c>
      <c r="F113" s="141">
        <f t="shared" ca="1" si="58"/>
        <v>4.1400000000000006</v>
      </c>
      <c r="G113" s="512">
        <f t="shared" ca="1" si="59"/>
        <v>12.707962428632822</v>
      </c>
      <c r="H113" s="141">
        <f t="shared" ca="1" si="60"/>
        <v>36.718000000000004</v>
      </c>
      <c r="I113" s="141">
        <f t="shared" ca="1" si="61"/>
        <v>40.624000000000002</v>
      </c>
      <c r="J113" s="141">
        <f t="shared" ca="1" si="62"/>
        <v>3.9059999999999988</v>
      </c>
      <c r="K113" s="512">
        <f t="shared" ca="1" si="63"/>
        <v>10.637834304700688</v>
      </c>
    </row>
    <row r="114" spans="1:11">
      <c r="A114" s="227" t="s">
        <v>516</v>
      </c>
      <c r="B114" s="227" t="s">
        <v>525</v>
      </c>
      <c r="C114" s="141">
        <f t="shared" si="55"/>
        <v>400</v>
      </c>
      <c r="D114" s="141">
        <f t="shared" si="56"/>
        <v>40.853999999999999</v>
      </c>
      <c r="E114" s="141">
        <f t="shared" ca="1" si="57"/>
        <v>46.374000000000002</v>
      </c>
      <c r="F114" s="141">
        <f t="shared" ca="1" si="58"/>
        <v>5.5200000000000031</v>
      </c>
      <c r="G114" s="512">
        <f t="shared" ca="1" si="59"/>
        <v>13.511528858863278</v>
      </c>
      <c r="H114" s="141">
        <f t="shared" ca="1" si="60"/>
        <v>46.374000000000002</v>
      </c>
      <c r="I114" s="141">
        <f t="shared" ca="1" si="61"/>
        <v>51.582000000000001</v>
      </c>
      <c r="J114" s="141">
        <f t="shared" ca="1" si="62"/>
        <v>5.2079999999999984</v>
      </c>
      <c r="K114" s="512">
        <f t="shared" ca="1" si="63"/>
        <v>11.230430844869966</v>
      </c>
    </row>
    <row r="115" spans="1:11">
      <c r="A115" s="337" t="s">
        <v>516</v>
      </c>
      <c r="B115" s="337" t="s">
        <v>525</v>
      </c>
      <c r="C115" s="142">
        <f t="shared" si="55"/>
        <v>500</v>
      </c>
      <c r="D115" s="142">
        <f t="shared" si="56"/>
        <v>49.13</v>
      </c>
      <c r="E115" s="142">
        <f t="shared" ca="1" si="57"/>
        <v>56.03</v>
      </c>
      <c r="F115" s="142">
        <f t="shared" ca="1" si="58"/>
        <v>6.8999999999999986</v>
      </c>
      <c r="G115" s="513">
        <f t="shared" ca="1" si="59"/>
        <v>14.044372074089148</v>
      </c>
      <c r="H115" s="142">
        <f t="shared" ca="1" si="60"/>
        <v>56.03</v>
      </c>
      <c r="I115" s="142">
        <f t="shared" ca="1" si="61"/>
        <v>62.54</v>
      </c>
      <c r="J115" s="142">
        <f t="shared" ca="1" si="62"/>
        <v>6.509999999999998</v>
      </c>
      <c r="K115" s="513">
        <f t="shared" ca="1" si="63"/>
        <v>11.618775655898622</v>
      </c>
    </row>
    <row r="116" spans="1:11">
      <c r="A116" s="227" t="s">
        <v>516</v>
      </c>
      <c r="B116" s="227" t="s">
        <v>525</v>
      </c>
      <c r="C116" s="141">
        <f t="shared" si="55"/>
        <v>600</v>
      </c>
      <c r="D116" s="141">
        <f t="shared" si="56"/>
        <v>57.405999999999999</v>
      </c>
      <c r="E116" s="141">
        <f t="shared" ca="1" si="57"/>
        <v>65.686000000000007</v>
      </c>
      <c r="F116" s="141">
        <f t="shared" ca="1" si="58"/>
        <v>8.2800000000000082</v>
      </c>
      <c r="G116" s="512">
        <f t="shared" ca="1" si="59"/>
        <v>14.423579416785717</v>
      </c>
      <c r="H116" s="141">
        <f t="shared" ca="1" si="60"/>
        <v>65.686000000000007</v>
      </c>
      <c r="I116" s="141">
        <f t="shared" ca="1" si="61"/>
        <v>73.498000000000005</v>
      </c>
      <c r="J116" s="141">
        <f t="shared" ca="1" si="62"/>
        <v>7.8119999999999976</v>
      </c>
      <c r="K116" s="512">
        <f t="shared" ca="1" si="63"/>
        <v>11.892945224248693</v>
      </c>
    </row>
    <row r="117" spans="1:11">
      <c r="A117" s="227" t="s">
        <v>516</v>
      </c>
      <c r="B117" s="227" t="s">
        <v>525</v>
      </c>
      <c r="C117" s="141">
        <f t="shared" si="55"/>
        <v>700</v>
      </c>
      <c r="D117" s="141">
        <f t="shared" si="56"/>
        <v>68.603999999999999</v>
      </c>
      <c r="E117" s="141">
        <f t="shared" ca="1" si="57"/>
        <v>76.803000000000011</v>
      </c>
      <c r="F117" s="141">
        <f t="shared" ca="1" si="58"/>
        <v>8.1990000000000123</v>
      </c>
      <c r="G117" s="512">
        <f t="shared" ca="1" si="59"/>
        <v>11.951198180864107</v>
      </c>
      <c r="H117" s="141">
        <f t="shared" ca="1" si="60"/>
        <v>76.803000000000011</v>
      </c>
      <c r="I117" s="141">
        <f t="shared" ca="1" si="61"/>
        <v>84.456000000000003</v>
      </c>
      <c r="J117" s="141">
        <f t="shared" ca="1" si="62"/>
        <v>7.6529999999999916</v>
      </c>
      <c r="K117" s="512">
        <f t="shared" ca="1" si="63"/>
        <v>9.9644545134955553</v>
      </c>
    </row>
    <row r="118" spans="1:11">
      <c r="A118" s="227" t="s">
        <v>516</v>
      </c>
      <c r="B118" s="227" t="s">
        <v>525</v>
      </c>
      <c r="C118" s="141">
        <f t="shared" si="55"/>
        <v>800</v>
      </c>
      <c r="D118" s="141">
        <f t="shared" si="56"/>
        <v>79.801999999999992</v>
      </c>
      <c r="E118" s="141">
        <f t="shared" ca="1" si="57"/>
        <v>87.920000000000016</v>
      </c>
      <c r="F118" s="141">
        <f t="shared" ca="1" si="58"/>
        <v>8.1180000000000234</v>
      </c>
      <c r="G118" s="512">
        <f t="shared" ca="1" si="59"/>
        <v>10.172677376506885</v>
      </c>
      <c r="H118" s="141">
        <f t="shared" ca="1" si="60"/>
        <v>87.920000000000016</v>
      </c>
      <c r="I118" s="141">
        <f t="shared" ca="1" si="61"/>
        <v>95.414000000000001</v>
      </c>
      <c r="J118" s="141">
        <f t="shared" ca="1" si="62"/>
        <v>7.4939999999999856</v>
      </c>
      <c r="K118" s="512">
        <f t="shared" ca="1" si="63"/>
        <v>8.5236578707916113</v>
      </c>
    </row>
    <row r="119" spans="1:11">
      <c r="A119" s="227" t="s">
        <v>516</v>
      </c>
      <c r="B119" s="227" t="s">
        <v>525</v>
      </c>
      <c r="C119" s="141">
        <f t="shared" si="55"/>
        <v>900</v>
      </c>
      <c r="D119" s="141">
        <f t="shared" si="56"/>
        <v>91</v>
      </c>
      <c r="E119" s="141">
        <f t="shared" ca="1" si="57"/>
        <v>99.037000000000006</v>
      </c>
      <c r="F119" s="141">
        <f t="shared" ca="1" si="58"/>
        <v>8.0370000000000061</v>
      </c>
      <c r="G119" s="512">
        <f t="shared" ca="1" si="59"/>
        <v>8.8318681318681378</v>
      </c>
      <c r="H119" s="141">
        <f t="shared" ca="1" si="60"/>
        <v>99.037000000000006</v>
      </c>
      <c r="I119" s="141">
        <f t="shared" ca="1" si="61"/>
        <v>106.37200000000001</v>
      </c>
      <c r="J119" s="141">
        <f t="shared" ca="1" si="62"/>
        <v>7.335000000000008</v>
      </c>
      <c r="K119" s="512">
        <f t="shared" ca="1" si="63"/>
        <v>7.406322889425172</v>
      </c>
    </row>
    <row r="120" spans="1:11">
      <c r="A120" s="227" t="s">
        <v>516</v>
      </c>
      <c r="B120" s="227" t="s">
        <v>525</v>
      </c>
      <c r="C120" s="141">
        <f t="shared" si="55"/>
        <v>1000</v>
      </c>
      <c r="D120" s="141">
        <f t="shared" si="56"/>
        <v>102.19800000000001</v>
      </c>
      <c r="E120" s="141">
        <f t="shared" ca="1" si="57"/>
        <v>110.15400000000001</v>
      </c>
      <c r="F120" s="141">
        <f t="shared" ca="1" si="58"/>
        <v>7.9560000000000031</v>
      </c>
      <c r="G120" s="512">
        <f t="shared" ca="1" si="59"/>
        <v>7.7848881582809861</v>
      </c>
      <c r="H120" s="141">
        <f t="shared" ca="1" si="60"/>
        <v>110.15400000000001</v>
      </c>
      <c r="I120" s="141">
        <f t="shared" ca="1" si="61"/>
        <v>117.33000000000001</v>
      </c>
      <c r="J120" s="141">
        <f t="shared" ca="1" si="62"/>
        <v>7.1760000000000019</v>
      </c>
      <c r="K120" s="512">
        <f t="shared" ca="1" si="63"/>
        <v>6.5145160411787142</v>
      </c>
    </row>
    <row r="121" spans="1:11">
      <c r="A121" s="227" t="s">
        <v>516</v>
      </c>
      <c r="B121" s="227" t="s">
        <v>525</v>
      </c>
      <c r="C121" s="141">
        <f t="shared" si="55"/>
        <v>1100</v>
      </c>
      <c r="D121" s="141">
        <f t="shared" si="56"/>
        <v>113.39599999999999</v>
      </c>
      <c r="E121" s="141">
        <f t="shared" ca="1" si="57"/>
        <v>121.27100000000002</v>
      </c>
      <c r="F121" s="141">
        <f t="shared" ca="1" si="58"/>
        <v>7.8750000000000284</v>
      </c>
      <c r="G121" s="512">
        <f t="shared" ca="1" si="59"/>
        <v>6.9446894070337839</v>
      </c>
      <c r="H121" s="141">
        <f t="shared" ca="1" si="60"/>
        <v>121.27100000000002</v>
      </c>
      <c r="I121" s="141">
        <f t="shared" ca="1" si="61"/>
        <v>128.28800000000001</v>
      </c>
      <c r="J121" s="141">
        <f t="shared" ca="1" si="62"/>
        <v>7.0169999999999959</v>
      </c>
      <c r="K121" s="512">
        <f t="shared" ca="1" si="63"/>
        <v>5.7862143463812412</v>
      </c>
    </row>
    <row r="122" spans="1:11">
      <c r="A122" s="336" t="s">
        <v>516</v>
      </c>
      <c r="B122" s="336" t="s">
        <v>525</v>
      </c>
      <c r="C122" s="340">
        <f t="shared" si="55"/>
        <v>1200</v>
      </c>
      <c r="D122" s="340">
        <f t="shared" si="56"/>
        <v>124.59399999999999</v>
      </c>
      <c r="E122" s="340">
        <f t="shared" ca="1" si="57"/>
        <v>132.38800000000001</v>
      </c>
      <c r="F122" s="340">
        <f t="shared" ca="1" si="58"/>
        <v>7.7940000000000111</v>
      </c>
      <c r="G122" s="514">
        <f t="shared" ca="1" si="59"/>
        <v>6.2555179222113511</v>
      </c>
      <c r="H122" s="340">
        <f t="shared" ca="1" si="60"/>
        <v>132.38800000000001</v>
      </c>
      <c r="I122" s="340">
        <f t="shared" ca="1" si="61"/>
        <v>139.24600000000001</v>
      </c>
      <c r="J122" s="340">
        <f t="shared" ca="1" si="62"/>
        <v>6.8580000000000041</v>
      </c>
      <c r="K122" s="514">
        <f t="shared" ca="1" si="63"/>
        <v>5.1802278152098404</v>
      </c>
    </row>
    <row r="123" spans="1:11">
      <c r="A123" s="227" t="s">
        <v>516</v>
      </c>
      <c r="B123" s="227" t="s">
        <v>525</v>
      </c>
      <c r="C123" s="141">
        <f t="shared" si="55"/>
        <v>1300</v>
      </c>
      <c r="D123" s="141">
        <f t="shared" si="56"/>
        <v>135.792</v>
      </c>
      <c r="E123" s="141">
        <f t="shared" ca="1" si="57"/>
        <v>143.505</v>
      </c>
      <c r="F123" s="141">
        <f t="shared" ca="1" si="58"/>
        <v>7.7129999999999939</v>
      </c>
      <c r="G123" s="512">
        <f t="shared" ca="1" si="59"/>
        <v>5.6800106044538659</v>
      </c>
      <c r="H123" s="141">
        <f t="shared" ca="1" si="60"/>
        <v>143.505</v>
      </c>
      <c r="I123" s="141">
        <f t="shared" ca="1" si="61"/>
        <v>150.20400000000001</v>
      </c>
      <c r="J123" s="141">
        <f t="shared" ca="1" si="62"/>
        <v>6.6990000000000123</v>
      </c>
      <c r="K123" s="512">
        <f t="shared" ca="1" si="63"/>
        <v>4.6681300303125415</v>
      </c>
    </row>
    <row r="124" spans="1:11">
      <c r="A124" s="227" t="s">
        <v>516</v>
      </c>
      <c r="B124" s="227" t="s">
        <v>525</v>
      </c>
      <c r="C124" s="141">
        <f t="shared" si="55"/>
        <v>1400</v>
      </c>
      <c r="D124" s="141">
        <f t="shared" si="56"/>
        <v>146.99</v>
      </c>
      <c r="E124" s="141">
        <f t="shared" ca="1" si="57"/>
        <v>154.62200000000001</v>
      </c>
      <c r="F124" s="141">
        <f t="shared" ca="1" si="58"/>
        <v>7.632000000000005</v>
      </c>
      <c r="G124" s="512">
        <f t="shared" ca="1" si="59"/>
        <v>5.1921899448942135</v>
      </c>
      <c r="H124" s="141">
        <f t="shared" ca="1" si="60"/>
        <v>154.62200000000001</v>
      </c>
      <c r="I124" s="141">
        <f t="shared" ca="1" si="61"/>
        <v>161.16200000000001</v>
      </c>
      <c r="J124" s="141">
        <f t="shared" ca="1" si="62"/>
        <v>6.539999999999992</v>
      </c>
      <c r="K124" s="512">
        <f t="shared" ca="1" si="63"/>
        <v>4.2296697753230399</v>
      </c>
    </row>
    <row r="125" spans="1:11">
      <c r="A125" s="227" t="s">
        <v>516</v>
      </c>
      <c r="B125" s="227" t="s">
        <v>525</v>
      </c>
      <c r="C125" s="141">
        <f t="shared" si="55"/>
        <v>1500</v>
      </c>
      <c r="D125" s="141">
        <f t="shared" si="56"/>
        <v>158.18799999999999</v>
      </c>
      <c r="E125" s="141">
        <f t="shared" ca="1" si="57"/>
        <v>165.73900000000003</v>
      </c>
      <c r="F125" s="141">
        <f t="shared" ca="1" si="58"/>
        <v>7.5510000000000446</v>
      </c>
      <c r="G125" s="512">
        <f t="shared" ca="1" si="59"/>
        <v>4.7734341416542625</v>
      </c>
      <c r="H125" s="141">
        <f t="shared" ca="1" si="60"/>
        <v>165.73900000000003</v>
      </c>
      <c r="I125" s="141">
        <f t="shared" ca="1" si="61"/>
        <v>172.12</v>
      </c>
      <c r="J125" s="141">
        <f t="shared" ca="1" si="62"/>
        <v>6.3809999999999718</v>
      </c>
      <c r="K125" s="512">
        <f t="shared" ca="1" si="63"/>
        <v>3.8500292628771566</v>
      </c>
    </row>
    <row r="126" spans="1:11">
      <c r="A126" s="227" t="s">
        <v>516</v>
      </c>
      <c r="B126" s="227" t="s">
        <v>525</v>
      </c>
      <c r="C126" s="141">
        <f t="shared" si="55"/>
        <v>1600</v>
      </c>
      <c r="D126" s="141">
        <f t="shared" si="56"/>
        <v>169.386</v>
      </c>
      <c r="E126" s="141">
        <f t="shared" ca="1" si="57"/>
        <v>176.85599999999999</v>
      </c>
      <c r="F126" s="141">
        <f t="shared" ca="1" si="58"/>
        <v>7.4699999999999989</v>
      </c>
      <c r="G126" s="512">
        <f t="shared" ca="1" si="59"/>
        <v>4.410045694449364</v>
      </c>
      <c r="H126" s="141">
        <f t="shared" ca="1" si="60"/>
        <v>176.85599999999999</v>
      </c>
      <c r="I126" s="141">
        <f t="shared" ca="1" si="61"/>
        <v>183.078</v>
      </c>
      <c r="J126" s="141">
        <f t="shared" ca="1" si="62"/>
        <v>6.2220000000000084</v>
      </c>
      <c r="K126" s="512">
        <f t="shared" ca="1" si="63"/>
        <v>3.5181164337087854</v>
      </c>
    </row>
    <row r="127" spans="1:11">
      <c r="A127" s="227" t="s">
        <v>516</v>
      </c>
      <c r="B127" s="227" t="s">
        <v>525</v>
      </c>
      <c r="C127" s="141">
        <f t="shared" si="55"/>
        <v>2000</v>
      </c>
      <c r="D127" s="141">
        <f t="shared" si="56"/>
        <v>214.178</v>
      </c>
      <c r="E127" s="141">
        <f t="shared" ca="1" si="57"/>
        <v>221.32400000000001</v>
      </c>
      <c r="F127" s="141">
        <f t="shared" ca="1" si="58"/>
        <v>7.146000000000015</v>
      </c>
      <c r="G127" s="512">
        <f t="shared" ca="1" si="59"/>
        <v>3.3364771358402892</v>
      </c>
      <c r="H127" s="141">
        <f t="shared" ca="1" si="60"/>
        <v>221.32400000000001</v>
      </c>
      <c r="I127" s="141">
        <f t="shared" ca="1" si="61"/>
        <v>226.91000000000003</v>
      </c>
      <c r="J127" s="141">
        <f t="shared" ca="1" si="62"/>
        <v>5.5860000000000127</v>
      </c>
      <c r="K127" s="512">
        <f t="shared" ca="1" si="63"/>
        <v>2.5239016103088741</v>
      </c>
    </row>
    <row r="128" spans="1:11">
      <c r="A128" s="337" t="s">
        <v>516</v>
      </c>
      <c r="B128" s="337" t="s">
        <v>525</v>
      </c>
      <c r="C128" s="142">
        <f t="shared" si="55"/>
        <v>2600</v>
      </c>
      <c r="D128" s="142">
        <f t="shared" si="56"/>
        <v>281.36599999999999</v>
      </c>
      <c r="E128" s="142">
        <f t="shared" ca="1" si="57"/>
        <v>288.02600000000001</v>
      </c>
      <c r="F128" s="142">
        <f t="shared" ca="1" si="58"/>
        <v>6.660000000000025</v>
      </c>
      <c r="G128" s="513">
        <f t="shared" ca="1" si="59"/>
        <v>2.3670237342109655</v>
      </c>
      <c r="H128" s="142">
        <f t="shared" ca="1" si="60"/>
        <v>288.02600000000001</v>
      </c>
      <c r="I128" s="142">
        <f t="shared" ca="1" si="61"/>
        <v>292.65800000000002</v>
      </c>
      <c r="J128" s="142">
        <f t="shared" ca="1" si="62"/>
        <v>4.632000000000005</v>
      </c>
      <c r="K128" s="513">
        <f t="shared" ca="1" si="63"/>
        <v>1.6081881496809332</v>
      </c>
    </row>
    <row r="129" spans="1:11">
      <c r="A129" s="402" t="s">
        <v>517</v>
      </c>
      <c r="B129" s="353"/>
      <c r="C129" s="353"/>
      <c r="D129" s="353"/>
      <c r="E129" s="10"/>
      <c r="F129" s="353"/>
      <c r="G129" s="523"/>
      <c r="H129" s="10"/>
      <c r="I129" s="10"/>
      <c r="J129" s="353"/>
      <c r="K129" s="526"/>
    </row>
    <row r="130" spans="1:11">
      <c r="A130" s="403" t="str">
        <f>"The average residential customer uses "&amp;TEXT(C$22,"#,###")&amp;" kilowatt hours per month"</f>
        <v>The average residential customer uses 1,200 kilowatt hours per month</v>
      </c>
      <c r="B130" s="143"/>
      <c r="C130" s="143"/>
      <c r="D130" s="143"/>
      <c r="E130" s="159"/>
      <c r="F130" s="143"/>
      <c r="G130" s="524"/>
      <c r="H130" s="159"/>
      <c r="I130" s="159"/>
      <c r="J130" s="143"/>
      <c r="K130" s="527"/>
    </row>
    <row r="131" spans="1:11">
      <c r="A131" s="393" t="s">
        <v>518</v>
      </c>
      <c r="B131" s="159"/>
      <c r="C131" s="159"/>
      <c r="D131" s="159"/>
      <c r="E131" s="159"/>
      <c r="F131" s="143"/>
      <c r="G131" s="524"/>
      <c r="H131" s="159"/>
      <c r="I131" s="159"/>
      <c r="J131" s="143"/>
      <c r="K131" s="527"/>
    </row>
    <row r="132" spans="1:11">
      <c r="A132" s="338" t="s">
        <v>523</v>
      </c>
      <c r="B132" s="354"/>
      <c r="C132" s="354"/>
      <c r="D132" s="354"/>
      <c r="E132" s="404"/>
      <c r="F132" s="354"/>
      <c r="G132" s="525"/>
      <c r="H132" s="404"/>
      <c r="I132" s="404"/>
      <c r="J132" s="354"/>
      <c r="K132" s="528"/>
    </row>
    <row r="133" spans="1:11">
      <c r="A133" s="350" t="s">
        <v>516</v>
      </c>
      <c r="B133" s="350" t="s">
        <v>526</v>
      </c>
      <c r="C133" s="268">
        <f t="shared" ref="C133:C153" si="64">C33</f>
        <v>0</v>
      </c>
      <c r="D133" s="268">
        <f t="shared" ref="D133:D153" si="65">Q$19+IF(C133&lt;=600,C133*Q$23,600*Q$23+(C133-600)*Q$24)</f>
        <v>7.75</v>
      </c>
      <c r="E133" s="268">
        <f t="shared" ref="E133:E153" ca="1" si="66">Q$36+IF(C133&lt;=600,C133*Y$41,600*Y$41+(C133-600)*Y$43)</f>
        <v>7.75</v>
      </c>
      <c r="F133" s="268">
        <f t="shared" ref="F133:F152" ca="1" si="67">E133-D133</f>
        <v>0</v>
      </c>
      <c r="G133" s="517">
        <f t="shared" ref="G133:G152" ca="1" si="68">F133/D133*100</f>
        <v>0</v>
      </c>
      <c r="H133" s="268">
        <f t="shared" ref="H133:H153" ca="1" si="69">E133</f>
        <v>7.75</v>
      </c>
      <c r="I133" s="268">
        <f t="shared" ref="I133:I153" ca="1" si="70">Q$60+IF(C133&lt;=600,C133*Y$65,600*Y$65+(C133-600)*Y$67)</f>
        <v>7.75</v>
      </c>
      <c r="J133" s="268">
        <f t="shared" ref="J133:J152" ca="1" si="71">I133-H133</f>
        <v>0</v>
      </c>
      <c r="K133" s="517">
        <f t="shared" ref="K133:K152" ca="1" si="72">J133/H133*100</f>
        <v>0</v>
      </c>
    </row>
    <row r="134" spans="1:11">
      <c r="A134" s="227" t="s">
        <v>516</v>
      </c>
      <c r="B134" s="227" t="s">
        <v>526</v>
      </c>
      <c r="C134" s="141">
        <f t="shared" si="64"/>
        <v>50</v>
      </c>
      <c r="D134" s="141">
        <f t="shared" si="65"/>
        <v>11.888</v>
      </c>
      <c r="E134" s="141">
        <f t="shared" ca="1" si="66"/>
        <v>12.717335456386298</v>
      </c>
      <c r="F134" s="141">
        <f t="shared" ca="1" si="67"/>
        <v>0.82933545638629802</v>
      </c>
      <c r="G134" s="512">
        <f t="shared" ca="1" si="68"/>
        <v>6.9762403801000854</v>
      </c>
      <c r="H134" s="141">
        <f t="shared" ca="1" si="69"/>
        <v>12.717335456386298</v>
      </c>
      <c r="I134" s="141">
        <f t="shared" ca="1" si="70"/>
        <v>13.507752235736888</v>
      </c>
      <c r="J134" s="141">
        <f t="shared" ca="1" si="71"/>
        <v>0.79041677935058985</v>
      </c>
      <c r="K134" s="512">
        <f t="shared" ca="1" si="72"/>
        <v>6.2152703454375278</v>
      </c>
    </row>
    <row r="135" spans="1:11">
      <c r="A135" s="227" t="s">
        <v>516</v>
      </c>
      <c r="B135" s="227" t="s">
        <v>526</v>
      </c>
      <c r="C135" s="141">
        <f t="shared" si="64"/>
        <v>100</v>
      </c>
      <c r="D135" s="141">
        <f t="shared" si="65"/>
        <v>16.026</v>
      </c>
      <c r="E135" s="141">
        <f t="shared" ca="1" si="66"/>
        <v>17.684670912772596</v>
      </c>
      <c r="F135" s="141">
        <f t="shared" ca="1" si="67"/>
        <v>1.658670912772596</v>
      </c>
      <c r="G135" s="512">
        <f t="shared" ca="1" si="68"/>
        <v>10.349874658508648</v>
      </c>
      <c r="H135" s="141">
        <f t="shared" ca="1" si="69"/>
        <v>17.684670912772596</v>
      </c>
      <c r="I135" s="141">
        <f t="shared" ca="1" si="70"/>
        <v>19.265504471473776</v>
      </c>
      <c r="J135" s="141">
        <f t="shared" ca="1" si="71"/>
        <v>1.5808335587011797</v>
      </c>
      <c r="K135" s="512">
        <f t="shared" ca="1" si="72"/>
        <v>8.9390046696285239</v>
      </c>
    </row>
    <row r="136" spans="1:11">
      <c r="A136" s="227" t="s">
        <v>516</v>
      </c>
      <c r="B136" s="227" t="s">
        <v>526</v>
      </c>
      <c r="C136" s="141">
        <f t="shared" si="64"/>
        <v>150</v>
      </c>
      <c r="D136" s="141">
        <f t="shared" si="65"/>
        <v>20.164000000000001</v>
      </c>
      <c r="E136" s="141">
        <f t="shared" ca="1" si="66"/>
        <v>22.65200636915889</v>
      </c>
      <c r="F136" s="141">
        <f t="shared" ca="1" si="67"/>
        <v>2.4880063691588887</v>
      </c>
      <c r="G136" s="512">
        <f t="shared" ca="1" si="68"/>
        <v>12.338853249151402</v>
      </c>
      <c r="H136" s="141">
        <f t="shared" ca="1" si="69"/>
        <v>22.65200636915889</v>
      </c>
      <c r="I136" s="141">
        <f t="shared" ca="1" si="70"/>
        <v>25.023256707210663</v>
      </c>
      <c r="J136" s="141">
        <f t="shared" ca="1" si="71"/>
        <v>2.3712503380517731</v>
      </c>
      <c r="K136" s="512">
        <f t="shared" ca="1" si="72"/>
        <v>10.468169129955184</v>
      </c>
    </row>
    <row r="137" spans="1:11">
      <c r="A137" s="227" t="s">
        <v>516</v>
      </c>
      <c r="B137" s="227" t="s">
        <v>526</v>
      </c>
      <c r="C137" s="141">
        <f t="shared" si="64"/>
        <v>200</v>
      </c>
      <c r="D137" s="141">
        <f t="shared" si="65"/>
        <v>24.302</v>
      </c>
      <c r="E137" s="141">
        <f t="shared" ca="1" si="66"/>
        <v>27.619341825545188</v>
      </c>
      <c r="F137" s="141">
        <f t="shared" ca="1" si="67"/>
        <v>3.3173418255451885</v>
      </c>
      <c r="G137" s="512">
        <f t="shared" ca="1" si="68"/>
        <v>13.650488953770012</v>
      </c>
      <c r="H137" s="141">
        <f t="shared" ca="1" si="69"/>
        <v>27.619341825545188</v>
      </c>
      <c r="I137" s="141">
        <f t="shared" ca="1" si="70"/>
        <v>30.781008942947551</v>
      </c>
      <c r="J137" s="141">
        <f t="shared" ca="1" si="71"/>
        <v>3.1616671174023629</v>
      </c>
      <c r="K137" s="512">
        <f t="shared" ca="1" si="72"/>
        <v>11.447293485024797</v>
      </c>
    </row>
    <row r="138" spans="1:11">
      <c r="A138" s="227" t="s">
        <v>516</v>
      </c>
      <c r="B138" s="227" t="s">
        <v>526</v>
      </c>
      <c r="C138" s="141">
        <f t="shared" si="64"/>
        <v>300</v>
      </c>
      <c r="D138" s="141">
        <f t="shared" si="65"/>
        <v>32.578000000000003</v>
      </c>
      <c r="E138" s="141">
        <f t="shared" ca="1" si="66"/>
        <v>37.55401273831778</v>
      </c>
      <c r="F138" s="141">
        <f t="shared" ca="1" si="67"/>
        <v>4.9760127383177775</v>
      </c>
      <c r="G138" s="512">
        <f t="shared" ca="1" si="68"/>
        <v>15.274150464478412</v>
      </c>
      <c r="H138" s="141">
        <f t="shared" ca="1" si="69"/>
        <v>37.55401273831778</v>
      </c>
      <c r="I138" s="141">
        <f t="shared" ca="1" si="70"/>
        <v>42.296513414421327</v>
      </c>
      <c r="J138" s="141">
        <f t="shared" ca="1" si="71"/>
        <v>4.7425006761035462</v>
      </c>
      <c r="K138" s="512">
        <f t="shared" ca="1" si="72"/>
        <v>12.628479169856044</v>
      </c>
    </row>
    <row r="139" spans="1:11">
      <c r="A139" s="227" t="s">
        <v>516</v>
      </c>
      <c r="B139" s="227" t="s">
        <v>526</v>
      </c>
      <c r="C139" s="141">
        <f t="shared" si="64"/>
        <v>400</v>
      </c>
      <c r="D139" s="141">
        <f t="shared" si="65"/>
        <v>40.853999999999999</v>
      </c>
      <c r="E139" s="141">
        <f t="shared" ca="1" si="66"/>
        <v>47.488683651090376</v>
      </c>
      <c r="F139" s="141">
        <f t="shared" ca="1" si="67"/>
        <v>6.6346836510903771</v>
      </c>
      <c r="G139" s="512">
        <f t="shared" ca="1" si="68"/>
        <v>16.239985438611583</v>
      </c>
      <c r="H139" s="141">
        <f t="shared" ca="1" si="69"/>
        <v>47.488683651090376</v>
      </c>
      <c r="I139" s="141">
        <f t="shared" ca="1" si="70"/>
        <v>53.812017885895102</v>
      </c>
      <c r="J139" s="141">
        <f t="shared" ca="1" si="71"/>
        <v>6.3233342348047259</v>
      </c>
      <c r="K139" s="512">
        <f t="shared" ca="1" si="72"/>
        <v>13.315454859232631</v>
      </c>
    </row>
    <row r="140" spans="1:11">
      <c r="A140" s="337" t="s">
        <v>516</v>
      </c>
      <c r="B140" s="337" t="s">
        <v>526</v>
      </c>
      <c r="C140" s="142">
        <f t="shared" si="64"/>
        <v>500</v>
      </c>
      <c r="D140" s="142">
        <f t="shared" si="65"/>
        <v>49.13</v>
      </c>
      <c r="E140" s="142">
        <f t="shared" ca="1" si="66"/>
        <v>57.423354563862972</v>
      </c>
      <c r="F140" s="142">
        <f t="shared" ca="1" si="67"/>
        <v>8.2933545638629695</v>
      </c>
      <c r="G140" s="513">
        <f t="shared" ca="1" si="68"/>
        <v>16.880428585106795</v>
      </c>
      <c r="H140" s="142">
        <f t="shared" ca="1" si="69"/>
        <v>57.423354563862972</v>
      </c>
      <c r="I140" s="142">
        <f t="shared" ca="1" si="70"/>
        <v>65.327522357368878</v>
      </c>
      <c r="J140" s="142">
        <f t="shared" ca="1" si="71"/>
        <v>7.9041677935059056</v>
      </c>
      <c r="K140" s="513">
        <f t="shared" ca="1" si="72"/>
        <v>13.764726657888545</v>
      </c>
    </row>
    <row r="141" spans="1:11">
      <c r="A141" s="227" t="s">
        <v>516</v>
      </c>
      <c r="B141" s="227" t="s">
        <v>526</v>
      </c>
      <c r="C141" s="141">
        <f t="shared" si="64"/>
        <v>600</v>
      </c>
      <c r="D141" s="141">
        <f t="shared" si="65"/>
        <v>57.405999999999999</v>
      </c>
      <c r="E141" s="141">
        <f t="shared" ca="1" si="66"/>
        <v>67.358025476635561</v>
      </c>
      <c r="F141" s="141">
        <f t="shared" ca="1" si="67"/>
        <v>9.952025476635562</v>
      </c>
      <c r="G141" s="512">
        <f t="shared" ca="1" si="68"/>
        <v>17.336211330933285</v>
      </c>
      <c r="H141" s="141">
        <f t="shared" ca="1" si="69"/>
        <v>67.358025476635561</v>
      </c>
      <c r="I141" s="141">
        <f t="shared" ca="1" si="70"/>
        <v>76.843026828842653</v>
      </c>
      <c r="J141" s="141">
        <f t="shared" ca="1" si="71"/>
        <v>9.4850013522070924</v>
      </c>
      <c r="K141" s="512">
        <f t="shared" ca="1" si="72"/>
        <v>14.081471784675678</v>
      </c>
    </row>
    <row r="142" spans="1:11">
      <c r="A142" s="227" t="s">
        <v>516</v>
      </c>
      <c r="B142" s="227" t="s">
        <v>526</v>
      </c>
      <c r="C142" s="141">
        <f t="shared" si="64"/>
        <v>700</v>
      </c>
      <c r="D142" s="141">
        <f t="shared" si="65"/>
        <v>68.603999999999999</v>
      </c>
      <c r="E142" s="141">
        <f t="shared" ca="1" si="66"/>
        <v>78.753696389408162</v>
      </c>
      <c r="F142" s="141">
        <f t="shared" ca="1" si="67"/>
        <v>10.149696389408163</v>
      </c>
      <c r="G142" s="512">
        <f t="shared" ca="1" si="68"/>
        <v>14.794613126651745</v>
      </c>
      <c r="H142" s="141">
        <f t="shared" ca="1" si="69"/>
        <v>78.753696389408162</v>
      </c>
      <c r="I142" s="141">
        <f t="shared" ca="1" si="70"/>
        <v>88.358531300316429</v>
      </c>
      <c r="J142" s="141">
        <f t="shared" ca="1" si="71"/>
        <v>9.6048349109082665</v>
      </c>
      <c r="K142" s="512">
        <f t="shared" ca="1" si="72"/>
        <v>12.196043298610238</v>
      </c>
    </row>
    <row r="143" spans="1:11">
      <c r="A143" s="227" t="s">
        <v>516</v>
      </c>
      <c r="B143" s="227" t="s">
        <v>526</v>
      </c>
      <c r="C143" s="141">
        <f t="shared" si="64"/>
        <v>800</v>
      </c>
      <c r="D143" s="141">
        <f t="shared" si="65"/>
        <v>79.801999999999992</v>
      </c>
      <c r="E143" s="141">
        <f t="shared" ca="1" si="66"/>
        <v>90.149367302180764</v>
      </c>
      <c r="F143" s="141">
        <f t="shared" ca="1" si="67"/>
        <v>10.347367302180771</v>
      </c>
      <c r="G143" s="512">
        <f t="shared" ca="1" si="68"/>
        <v>12.966300722012946</v>
      </c>
      <c r="H143" s="141">
        <f t="shared" ca="1" si="69"/>
        <v>90.149367302180764</v>
      </c>
      <c r="I143" s="141">
        <f t="shared" ca="1" si="70"/>
        <v>99.874035771790204</v>
      </c>
      <c r="J143" s="141">
        <f t="shared" ca="1" si="71"/>
        <v>9.7246684696094405</v>
      </c>
      <c r="K143" s="512">
        <f t="shared" ca="1" si="72"/>
        <v>10.787284215775294</v>
      </c>
    </row>
    <row r="144" spans="1:11">
      <c r="A144" s="227" t="s">
        <v>516</v>
      </c>
      <c r="B144" s="227" t="s">
        <v>526</v>
      </c>
      <c r="C144" s="141">
        <f t="shared" si="64"/>
        <v>900</v>
      </c>
      <c r="D144" s="141">
        <f t="shared" si="65"/>
        <v>91</v>
      </c>
      <c r="E144" s="141">
        <f t="shared" ca="1" si="66"/>
        <v>101.54503821495335</v>
      </c>
      <c r="F144" s="141">
        <f t="shared" ca="1" si="67"/>
        <v>10.545038214953351</v>
      </c>
      <c r="G144" s="512">
        <f t="shared" ca="1" si="68"/>
        <v>11.58795408236632</v>
      </c>
      <c r="H144" s="141">
        <f t="shared" ca="1" si="69"/>
        <v>101.54503821495335</v>
      </c>
      <c r="I144" s="141">
        <f t="shared" ca="1" si="70"/>
        <v>111.38954024326398</v>
      </c>
      <c r="J144" s="141">
        <f t="shared" ca="1" si="71"/>
        <v>9.8445020283106288</v>
      </c>
      <c r="K144" s="512">
        <f t="shared" ca="1" si="72"/>
        <v>9.6947149770838763</v>
      </c>
    </row>
    <row r="145" spans="1:11">
      <c r="A145" s="227" t="s">
        <v>516</v>
      </c>
      <c r="B145" s="227" t="s">
        <v>526</v>
      </c>
      <c r="C145" s="141">
        <f t="shared" si="64"/>
        <v>1000</v>
      </c>
      <c r="D145" s="141">
        <f t="shared" si="65"/>
        <v>102.19800000000001</v>
      </c>
      <c r="E145" s="141">
        <f t="shared" ca="1" si="66"/>
        <v>112.94070912772594</v>
      </c>
      <c r="F145" s="141">
        <f t="shared" ca="1" si="67"/>
        <v>10.742709127725931</v>
      </c>
      <c r="G145" s="512">
        <f t="shared" ca="1" si="68"/>
        <v>10.511662779825368</v>
      </c>
      <c r="H145" s="141">
        <f t="shared" ca="1" si="69"/>
        <v>112.94070912772594</v>
      </c>
      <c r="I145" s="141">
        <f t="shared" ca="1" si="70"/>
        <v>122.90504471473776</v>
      </c>
      <c r="J145" s="141">
        <f t="shared" ca="1" si="71"/>
        <v>9.9643355870118171</v>
      </c>
      <c r="K145" s="512">
        <f t="shared" ca="1" si="72"/>
        <v>8.8226253084200454</v>
      </c>
    </row>
    <row r="146" spans="1:11">
      <c r="A146" s="227" t="s">
        <v>516</v>
      </c>
      <c r="B146" s="227" t="s">
        <v>526</v>
      </c>
      <c r="C146" s="141">
        <f t="shared" si="64"/>
        <v>1100</v>
      </c>
      <c r="D146" s="141">
        <f t="shared" si="65"/>
        <v>113.39599999999999</v>
      </c>
      <c r="E146" s="141">
        <f t="shared" ca="1" si="66"/>
        <v>124.33638004049854</v>
      </c>
      <c r="F146" s="141">
        <f t="shared" ca="1" si="67"/>
        <v>10.940380040498553</v>
      </c>
      <c r="G146" s="512">
        <f t="shared" ca="1" si="68"/>
        <v>9.6479417620538239</v>
      </c>
      <c r="H146" s="141">
        <f t="shared" ca="1" si="69"/>
        <v>124.33638004049854</v>
      </c>
      <c r="I146" s="141">
        <f t="shared" ca="1" si="70"/>
        <v>134.42054918621153</v>
      </c>
      <c r="J146" s="141">
        <f t="shared" ca="1" si="71"/>
        <v>10.084169145712991</v>
      </c>
      <c r="K146" s="512">
        <f t="shared" ca="1" si="72"/>
        <v>8.1103930663160693</v>
      </c>
    </row>
    <row r="147" spans="1:11">
      <c r="A147" s="336" t="s">
        <v>516</v>
      </c>
      <c r="B147" s="336" t="s">
        <v>526</v>
      </c>
      <c r="C147" s="340">
        <f t="shared" si="64"/>
        <v>1200</v>
      </c>
      <c r="D147" s="340">
        <f t="shared" si="65"/>
        <v>124.59399999999999</v>
      </c>
      <c r="E147" s="340">
        <f t="shared" ca="1" si="66"/>
        <v>135.73205095327114</v>
      </c>
      <c r="F147" s="340">
        <f t="shared" ca="1" si="67"/>
        <v>11.138050953271147</v>
      </c>
      <c r="G147" s="514">
        <f t="shared" ca="1" si="68"/>
        <v>8.9394761812536299</v>
      </c>
      <c r="H147" s="340">
        <f t="shared" ca="1" si="69"/>
        <v>135.73205095327114</v>
      </c>
      <c r="I147" s="340">
        <f t="shared" ca="1" si="70"/>
        <v>145.93605365768531</v>
      </c>
      <c r="J147" s="340">
        <f t="shared" ca="1" si="71"/>
        <v>10.204002704414165</v>
      </c>
      <c r="K147" s="514">
        <f t="shared" ca="1" si="72"/>
        <v>7.5177547474966886</v>
      </c>
    </row>
    <row r="148" spans="1:11">
      <c r="A148" s="227" t="s">
        <v>516</v>
      </c>
      <c r="B148" s="227" t="s">
        <v>526</v>
      </c>
      <c r="C148" s="141">
        <f t="shared" si="64"/>
        <v>1300</v>
      </c>
      <c r="D148" s="141">
        <f t="shared" si="65"/>
        <v>135.792</v>
      </c>
      <c r="E148" s="141">
        <f t="shared" ca="1" si="66"/>
        <v>147.12772186604374</v>
      </c>
      <c r="F148" s="141">
        <f t="shared" ca="1" si="67"/>
        <v>11.335721866043741</v>
      </c>
      <c r="G148" s="512">
        <f t="shared" ca="1" si="68"/>
        <v>8.3478569179655207</v>
      </c>
      <c r="H148" s="141">
        <f t="shared" ca="1" si="69"/>
        <v>147.12772186604374</v>
      </c>
      <c r="I148" s="141">
        <f t="shared" ca="1" si="70"/>
        <v>157.45155812915908</v>
      </c>
      <c r="J148" s="141">
        <f t="shared" ca="1" si="71"/>
        <v>10.323836263115339</v>
      </c>
      <c r="K148" s="512">
        <f t="shared" ca="1" si="72"/>
        <v>7.0169211703793959</v>
      </c>
    </row>
    <row r="149" spans="1:11">
      <c r="A149" s="227" t="s">
        <v>516</v>
      </c>
      <c r="B149" s="227" t="s">
        <v>526</v>
      </c>
      <c r="C149" s="141">
        <f t="shared" si="64"/>
        <v>1400</v>
      </c>
      <c r="D149" s="141">
        <f t="shared" si="65"/>
        <v>146.99</v>
      </c>
      <c r="E149" s="141">
        <f t="shared" ca="1" si="66"/>
        <v>158.52339277881632</v>
      </c>
      <c r="F149" s="141">
        <f t="shared" ca="1" si="67"/>
        <v>11.533392778816307</v>
      </c>
      <c r="G149" s="512">
        <f t="shared" ca="1" si="68"/>
        <v>7.8463791950583754</v>
      </c>
      <c r="H149" s="141">
        <f t="shared" ca="1" si="69"/>
        <v>158.52339277881632</v>
      </c>
      <c r="I149" s="141">
        <f t="shared" ca="1" si="70"/>
        <v>168.96706260063286</v>
      </c>
      <c r="J149" s="141">
        <f t="shared" ca="1" si="71"/>
        <v>10.443669821816542</v>
      </c>
      <c r="K149" s="512">
        <f t="shared" ca="1" si="72"/>
        <v>6.5880938066903036</v>
      </c>
    </row>
    <row r="150" spans="1:11">
      <c r="A150" s="227" t="s">
        <v>516</v>
      </c>
      <c r="B150" s="227" t="s">
        <v>526</v>
      </c>
      <c r="C150" s="141">
        <f t="shared" si="64"/>
        <v>1500</v>
      </c>
      <c r="D150" s="141">
        <f t="shared" si="65"/>
        <v>158.18799999999999</v>
      </c>
      <c r="E150" s="141">
        <f t="shared" ca="1" si="66"/>
        <v>169.91906369158892</v>
      </c>
      <c r="F150" s="141">
        <f t="shared" ca="1" si="67"/>
        <v>11.731063691588929</v>
      </c>
      <c r="G150" s="512">
        <f t="shared" ca="1" si="68"/>
        <v>7.4158998733082973</v>
      </c>
      <c r="H150" s="141">
        <f t="shared" ca="1" si="69"/>
        <v>169.91906369158892</v>
      </c>
      <c r="I150" s="141">
        <f t="shared" ca="1" si="70"/>
        <v>180.48256707210663</v>
      </c>
      <c r="J150" s="141">
        <f t="shared" ca="1" si="71"/>
        <v>10.563503380517716</v>
      </c>
      <c r="K150" s="512">
        <f t="shared" ca="1" si="72"/>
        <v>6.2167853041439605</v>
      </c>
    </row>
    <row r="151" spans="1:11">
      <c r="A151" s="227" t="s">
        <v>516</v>
      </c>
      <c r="B151" s="227" t="s">
        <v>526</v>
      </c>
      <c r="C151" s="141">
        <f t="shared" si="64"/>
        <v>1600</v>
      </c>
      <c r="D151" s="141">
        <f t="shared" si="65"/>
        <v>169.386</v>
      </c>
      <c r="E151" s="141">
        <f t="shared" ca="1" si="66"/>
        <v>181.31473460436152</v>
      </c>
      <c r="F151" s="141">
        <f t="shared" ca="1" si="67"/>
        <v>11.928734604361523</v>
      </c>
      <c r="G151" s="512">
        <f t="shared" ca="1" si="68"/>
        <v>7.0423379761972802</v>
      </c>
      <c r="H151" s="141">
        <f t="shared" ca="1" si="69"/>
        <v>181.31473460436152</v>
      </c>
      <c r="I151" s="141">
        <f t="shared" ca="1" si="70"/>
        <v>191.99807154358041</v>
      </c>
      <c r="J151" s="141">
        <f t="shared" ca="1" si="71"/>
        <v>10.68333693921889</v>
      </c>
      <c r="K151" s="512">
        <f t="shared" ca="1" si="72"/>
        <v>5.8921504435535832</v>
      </c>
    </row>
    <row r="152" spans="1:11">
      <c r="A152" s="227" t="s">
        <v>516</v>
      </c>
      <c r="B152" s="227" t="s">
        <v>526</v>
      </c>
      <c r="C152" s="141">
        <f t="shared" si="64"/>
        <v>2000</v>
      </c>
      <c r="D152" s="141">
        <f t="shared" si="65"/>
        <v>214.178</v>
      </c>
      <c r="E152" s="141">
        <f t="shared" ca="1" si="66"/>
        <v>226.8974182554519</v>
      </c>
      <c r="F152" s="141">
        <f t="shared" ca="1" si="67"/>
        <v>12.719418255451899</v>
      </c>
      <c r="G152" s="512">
        <f t="shared" ca="1" si="68"/>
        <v>5.9387137126371048</v>
      </c>
      <c r="H152" s="141">
        <f t="shared" ca="1" si="69"/>
        <v>226.8974182554519</v>
      </c>
      <c r="I152" s="141">
        <f t="shared" ca="1" si="70"/>
        <v>238.06008942947551</v>
      </c>
      <c r="J152" s="141">
        <f t="shared" ca="1" si="71"/>
        <v>11.162671174023615</v>
      </c>
      <c r="K152" s="512">
        <f t="shared" ca="1" si="72"/>
        <v>4.9196995099592318</v>
      </c>
    </row>
    <row r="153" spans="1:11">
      <c r="A153" s="337" t="s">
        <v>516</v>
      </c>
      <c r="B153" s="337" t="s">
        <v>526</v>
      </c>
      <c r="C153" s="142">
        <f t="shared" si="64"/>
        <v>2600</v>
      </c>
      <c r="D153" s="142">
        <f t="shared" si="65"/>
        <v>281.36599999999999</v>
      </c>
      <c r="E153" s="142">
        <f t="shared" ca="1" si="66"/>
        <v>295.27144373208745</v>
      </c>
      <c r="F153" s="142">
        <f t="shared" ref="F153" ca="1" si="73">E153-D153</f>
        <v>13.905443732087463</v>
      </c>
      <c r="G153" s="513">
        <f t="shared" ref="G153" ca="1" si="74">F153/D153*100</f>
        <v>4.9421194217096103</v>
      </c>
      <c r="H153" s="142">
        <f t="shared" ca="1" si="69"/>
        <v>295.27144373208745</v>
      </c>
      <c r="I153" s="142">
        <f t="shared" ca="1" si="70"/>
        <v>307.15311625831816</v>
      </c>
      <c r="J153" s="142">
        <f t="shared" ref="J153" ca="1" si="75">I153-H153</f>
        <v>11.881672526230716</v>
      </c>
      <c r="K153" s="513">
        <f t="shared" ref="K153" ca="1" si="76">J153/H153*100</f>
        <v>4.023982941273343</v>
      </c>
    </row>
    <row r="154" spans="1:11">
      <c r="A154" s="402" t="s">
        <v>517</v>
      </c>
      <c r="B154" s="353"/>
      <c r="C154" s="353"/>
      <c r="D154" s="353"/>
      <c r="E154" s="10"/>
      <c r="F154" s="353"/>
      <c r="G154" s="353"/>
      <c r="H154" s="10"/>
      <c r="I154" s="10"/>
      <c r="J154" s="353"/>
      <c r="K154" s="320"/>
    </row>
    <row r="155" spans="1:11">
      <c r="A155" s="403" t="str">
        <f>"The average residential customer uses "&amp;TEXT(C$22,"#,###")&amp;" kilowatt hours per month"</f>
        <v>The average residential customer uses 1,200 kilowatt hours per month</v>
      </c>
      <c r="B155" s="143"/>
      <c r="C155" s="143"/>
      <c r="D155" s="143"/>
      <c r="E155" s="159"/>
      <c r="F155" s="143"/>
      <c r="G155" s="143"/>
      <c r="H155" s="159"/>
      <c r="I155" s="159"/>
      <c r="J155" s="143"/>
      <c r="K155" s="275"/>
    </row>
    <row r="156" spans="1:11">
      <c r="A156" s="393" t="s">
        <v>518</v>
      </c>
      <c r="B156" s="159"/>
      <c r="C156" s="159"/>
      <c r="D156" s="159"/>
      <c r="E156" s="159"/>
      <c r="F156" s="143"/>
      <c r="G156" s="143"/>
      <c r="H156" s="159"/>
      <c r="I156" s="159"/>
      <c r="J156" s="143"/>
      <c r="K156" s="275"/>
    </row>
    <row r="157" spans="1:11">
      <c r="A157" s="338" t="s">
        <v>523</v>
      </c>
      <c r="B157" s="354"/>
      <c r="C157" s="354"/>
      <c r="D157" s="354"/>
      <c r="E157" s="404"/>
      <c r="F157" s="354"/>
      <c r="G157" s="354"/>
      <c r="H157" s="404"/>
      <c r="I157" s="404"/>
      <c r="J157" s="354"/>
      <c r="K157" s="321"/>
    </row>
  </sheetData>
  <phoneticPr fontId="46" type="noConversion"/>
  <printOptions horizontalCentered="1"/>
  <pageMargins left="0.2" right="0.2" top="0.2" bottom="0.2" header="0" footer="0"/>
  <pageSetup fitToHeight="0" orientation="landscape" r:id="rId1"/>
  <rowBreaks count="7" manualBreakCount="7">
    <brk id="32" max="10" man="1"/>
    <brk id="33" min="11" max="16" man="1"/>
    <brk id="57" max="10" man="1"/>
    <brk id="57" min="11" max="16" man="1"/>
    <brk id="82" max="10" man="1"/>
    <brk id="107" max="10" man="1"/>
    <brk id="13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600A-ABDA-450F-8D6F-77E72671DB83}">
  <sheetPr>
    <pageSetUpPr fitToPage="1"/>
  </sheetPr>
  <dimension ref="A1:AF261"/>
  <sheetViews>
    <sheetView showGridLines="0" view="pageBreakPreview" zoomScale="70" zoomScaleNormal="70" zoomScaleSheetLayoutView="70" workbookViewId="0">
      <pane ySplit="7" topLeftCell="A8" activePane="bottomLeft" state="frozen"/>
      <selection activeCell="G59" sqref="G59"/>
      <selection pane="bottomLeft" activeCell="A8" sqref="A8"/>
    </sheetView>
  </sheetViews>
  <sheetFormatPr defaultRowHeight="15.75"/>
  <cols>
    <col min="1" max="1" width="7.625" style="1" bestFit="1" customWidth="1"/>
    <col min="2" max="2" width="11.75" style="1" bestFit="1" customWidth="1"/>
    <col min="3" max="4" width="6.75" style="140" bestFit="1" customWidth="1"/>
    <col min="5" max="5" width="8.5" style="140" bestFit="1" customWidth="1"/>
    <col min="6" max="13" width="10.25" style="140" customWidth="1"/>
    <col min="14" max="14" width="46.25" style="157" bestFit="1" customWidth="1"/>
    <col min="15" max="15" width="7.125" style="157" bestFit="1" customWidth="1"/>
    <col min="16" max="16" width="12.625" style="157" bestFit="1" customWidth="1"/>
    <col min="17" max="17" width="7.625" style="157" bestFit="1" customWidth="1"/>
    <col min="18" max="18" width="41" style="157" bestFit="1" customWidth="1"/>
    <col min="19" max="19" width="13.375" style="158" customWidth="1"/>
    <col min="20" max="20" width="16.5" style="81" customWidth="1"/>
    <col min="21" max="21" width="16.5" style="158" customWidth="1"/>
    <col min="22" max="32" width="16.5" style="1" customWidth="1"/>
    <col min="33" max="16384" width="9" style="1"/>
  </cols>
  <sheetData>
    <row r="1" spans="1:22">
      <c r="A1" s="384" t="s">
        <v>229</v>
      </c>
      <c r="B1" s="409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42"/>
    </row>
    <row r="2" spans="1:22">
      <c r="A2" s="387" t="s">
        <v>411</v>
      </c>
      <c r="B2" s="332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401"/>
    </row>
    <row r="3" spans="1:22">
      <c r="A3" s="387" t="s">
        <v>508</v>
      </c>
      <c r="B3" s="332"/>
      <c r="C3" s="343"/>
      <c r="D3" s="343"/>
      <c r="E3" s="343"/>
      <c r="F3" s="389"/>
      <c r="G3" s="389"/>
      <c r="H3" s="389"/>
      <c r="I3" s="389"/>
      <c r="J3" s="389"/>
      <c r="K3" s="389"/>
      <c r="L3" s="389"/>
      <c r="M3" s="399"/>
    </row>
    <row r="4" spans="1:22" s="267" customFormat="1">
      <c r="A4" s="612"/>
      <c r="B4" s="612"/>
      <c r="C4" s="612"/>
      <c r="D4" s="612"/>
      <c r="E4" s="612"/>
      <c r="F4" s="516" t="s">
        <v>622</v>
      </c>
      <c r="G4" s="516"/>
      <c r="H4" s="516"/>
      <c r="I4" s="516"/>
      <c r="J4" s="516"/>
      <c r="K4" s="516"/>
      <c r="L4" s="516"/>
      <c r="M4" s="648"/>
      <c r="N4" s="261" t="s">
        <v>229</v>
      </c>
      <c r="O4" s="316"/>
      <c r="P4" s="316"/>
      <c r="Q4" s="316"/>
      <c r="R4" s="316"/>
      <c r="S4" s="317"/>
      <c r="T4" s="333"/>
      <c r="U4" s="315"/>
    </row>
    <row r="5" spans="1:22" s="267" customFormat="1">
      <c r="A5" s="291"/>
      <c r="B5" s="291"/>
      <c r="C5" s="428" t="s">
        <v>490</v>
      </c>
      <c r="D5" s="428" t="s">
        <v>6</v>
      </c>
      <c r="E5" s="429"/>
      <c r="F5" s="386" t="s">
        <v>501</v>
      </c>
      <c r="G5" s="386"/>
      <c r="H5" s="341"/>
      <c r="I5" s="308"/>
      <c r="J5" s="346" t="s">
        <v>503</v>
      </c>
      <c r="K5" s="386"/>
      <c r="L5" s="341"/>
      <c r="M5" s="308"/>
      <c r="N5" s="273" t="s">
        <v>411</v>
      </c>
      <c r="O5" s="315"/>
      <c r="P5" s="315"/>
      <c r="Q5" s="315"/>
      <c r="R5" s="315"/>
      <c r="S5" s="318"/>
      <c r="T5" s="333"/>
      <c r="U5" s="315"/>
    </row>
    <row r="6" spans="1:22" s="159" customFormat="1">
      <c r="A6" s="141"/>
      <c r="B6" s="141"/>
      <c r="C6" s="428" t="s">
        <v>527</v>
      </c>
      <c r="D6" s="429" t="s">
        <v>530</v>
      </c>
      <c r="E6" s="428"/>
      <c r="F6" s="646"/>
      <c r="G6" s="392"/>
      <c r="H6" s="392"/>
      <c r="I6" s="220" t="s">
        <v>494</v>
      </c>
      <c r="J6" s="392"/>
      <c r="K6" s="392"/>
      <c r="L6" s="392"/>
      <c r="M6" s="220" t="s">
        <v>494</v>
      </c>
      <c r="N6" s="319" t="s">
        <v>407</v>
      </c>
      <c r="O6" s="258"/>
      <c r="P6" s="258"/>
      <c r="Q6" s="258"/>
      <c r="R6" s="258"/>
      <c r="S6" s="260"/>
      <c r="T6" s="81"/>
      <c r="U6" s="332"/>
    </row>
    <row r="7" spans="1:22" s="159" customFormat="1">
      <c r="A7" s="337" t="s">
        <v>193</v>
      </c>
      <c r="B7" s="337" t="s">
        <v>513</v>
      </c>
      <c r="C7" s="430" t="s">
        <v>202</v>
      </c>
      <c r="D7" s="430" t="s">
        <v>202</v>
      </c>
      <c r="E7" s="430" t="s">
        <v>6</v>
      </c>
      <c r="F7" s="368" t="s">
        <v>406</v>
      </c>
      <c r="G7" s="284" t="s">
        <v>412</v>
      </c>
      <c r="H7" s="218" t="s">
        <v>414</v>
      </c>
      <c r="I7" s="218" t="s">
        <v>414</v>
      </c>
      <c r="J7" s="284" t="s">
        <v>406</v>
      </c>
      <c r="K7" s="284" t="s">
        <v>412</v>
      </c>
      <c r="L7" s="218" t="s">
        <v>414</v>
      </c>
      <c r="M7" s="218" t="s">
        <v>414</v>
      </c>
      <c r="N7" s="233"/>
      <c r="O7" s="233"/>
      <c r="P7" s="233" t="s">
        <v>153</v>
      </c>
      <c r="Q7" s="234" t="s">
        <v>193</v>
      </c>
      <c r="R7" s="234" t="s">
        <v>401</v>
      </c>
      <c r="S7" s="235" t="s">
        <v>206</v>
      </c>
      <c r="T7" s="81"/>
      <c r="U7" s="158"/>
    </row>
    <row r="8" spans="1:22" s="159" customFormat="1">
      <c r="A8" s="227" t="s">
        <v>199</v>
      </c>
      <c r="B8" s="227" t="s">
        <v>524</v>
      </c>
      <c r="C8" s="327">
        <v>15</v>
      </c>
      <c r="D8" s="141">
        <v>300</v>
      </c>
      <c r="E8" s="141">
        <f>C8*D8</f>
        <v>4500</v>
      </c>
      <c r="F8" s="141">
        <f t="shared" ref="F8:F22" si="0">SUMIFS(S$52:S$55,Q$52:Q$55,A8,R$52:R$55,"Bill")+(S$56+S$58)*C8+S$59*1000+IF(E8&lt;=9000,S$60*(E8-1000),S$60*8000+S$61*(E8-9000))</f>
        <v>495.005</v>
      </c>
      <c r="G8" s="141">
        <f t="shared" ref="G8:G22" ca="1" si="1">SUMIFS(S$115:S$118,Q$115:Q$118,A8,R$115:R$118,"Bill")+(S$119+S$121)*C8+IF(B8="Summer",S$122,IF(B8="Winter",S$123,AF$123))*1000+IF(B8="Summer",S$124,IF(B8="Winter",S$125,AF$125))*(E8-1000)</f>
        <v>517.77500000000009</v>
      </c>
      <c r="H8" s="141">
        <f t="shared" ref="H8:H22" ca="1" si="2">G8-F8</f>
        <v>22.770000000000095</v>
      </c>
      <c r="I8" s="512">
        <f t="shared" ref="I8:I22" ca="1" si="3">H8/F8*100</f>
        <v>4.5999535358228902</v>
      </c>
      <c r="J8" s="141">
        <f ca="1">G8</f>
        <v>517.77500000000009</v>
      </c>
      <c r="K8" s="141">
        <f t="shared" ref="K8:K22" ca="1" si="4">SUMIFS(S$192:S$195,Q$192:Q$195,A8,R$192:R$195,"Bill")+(S$196+S$198)*C8+IF(B8="Summer",S$199,IF(B8="Winter",S$200,AF$200))*1000+IF(B8="Summer",S$201,IF(B8="Winter",S$202,AF$202))*(E8-1000)</f>
        <v>577.96</v>
      </c>
      <c r="L8" s="141">
        <f t="shared" ref="L8:L22" ca="1" si="5">K8-J8</f>
        <v>60.184999999999945</v>
      </c>
      <c r="M8" s="512">
        <f t="shared" ref="M8:M22" ca="1" si="6">L8/J8*100</f>
        <v>11.623774805658817</v>
      </c>
      <c r="N8" s="262" t="s">
        <v>217</v>
      </c>
      <c r="O8" s="145" t="s">
        <v>402</v>
      </c>
      <c r="P8" s="144" t="s">
        <v>4</v>
      </c>
      <c r="Q8" s="144" t="s">
        <v>199</v>
      </c>
      <c r="R8" s="144" t="s">
        <v>335</v>
      </c>
      <c r="S8" s="144">
        <f>SUMIFS('Normalized Units'!I:I,'Normalized Units'!B:B,"Normalized Billing Units",'Normalized Units'!C:C,N$4,'Normalized Units'!D:D,P8,'Normalized Units'!F:F,Q8,'Normalized Units'!H:H,R8)</f>
        <v>39261.300000000003</v>
      </c>
      <c r="U8" s="334"/>
    </row>
    <row r="9" spans="1:22" s="159" customFormat="1">
      <c r="A9" s="227" t="s">
        <v>199</v>
      </c>
      <c r="B9" s="227" t="s">
        <v>524</v>
      </c>
      <c r="C9" s="327">
        <v>15</v>
      </c>
      <c r="D9" s="141">
        <v>500</v>
      </c>
      <c r="E9" s="141">
        <f t="shared" ref="E9:E22" si="7">C9*D9</f>
        <v>7500</v>
      </c>
      <c r="F9" s="141">
        <f t="shared" si="0"/>
        <v>746.43499999999995</v>
      </c>
      <c r="G9" s="141">
        <f t="shared" ca="1" si="1"/>
        <v>783.36500000000001</v>
      </c>
      <c r="H9" s="141">
        <f t="shared" ca="1" si="2"/>
        <v>36.930000000000064</v>
      </c>
      <c r="I9" s="512">
        <f t="shared" ca="1" si="3"/>
        <v>4.9475171984164819</v>
      </c>
      <c r="J9" s="141">
        <f t="shared" ref="J9:J22" ca="1" si="8">G9</f>
        <v>783.36500000000001</v>
      </c>
      <c r="K9" s="141">
        <f t="shared" ca="1" si="4"/>
        <v>878.62000000000012</v>
      </c>
      <c r="L9" s="141">
        <f t="shared" ca="1" si="5"/>
        <v>95.255000000000109</v>
      </c>
      <c r="M9" s="512">
        <f t="shared" ca="1" si="6"/>
        <v>12.159721202759902</v>
      </c>
      <c r="N9" s="237" t="s">
        <v>217</v>
      </c>
      <c r="O9" s="102" t="s">
        <v>402</v>
      </c>
      <c r="P9" s="100" t="s">
        <v>4</v>
      </c>
      <c r="Q9" s="100" t="s">
        <v>200</v>
      </c>
      <c r="R9" s="100" t="s">
        <v>335</v>
      </c>
      <c r="S9" s="100">
        <f>SUMIFS('Normalized Units'!I:I,'Normalized Units'!B:B,"Normalized Billing Units",'Normalized Units'!C:C,N$4,'Normalized Units'!D:D,P9,'Normalized Units'!F:F,Q9,'Normalized Units'!H:H,R9)</f>
        <v>2717.666666666667</v>
      </c>
      <c r="T9" s="334"/>
      <c r="U9" s="91"/>
      <c r="V9" s="158"/>
    </row>
    <row r="10" spans="1:22" s="159" customFormat="1">
      <c r="A10" s="227" t="s">
        <v>199</v>
      </c>
      <c r="B10" s="227" t="s">
        <v>524</v>
      </c>
      <c r="C10" s="327">
        <v>15</v>
      </c>
      <c r="D10" s="141">
        <v>700</v>
      </c>
      <c r="E10" s="141">
        <f t="shared" si="7"/>
        <v>10500</v>
      </c>
      <c r="F10" s="141">
        <f t="shared" si="0"/>
        <v>990.05</v>
      </c>
      <c r="G10" s="141">
        <f t="shared" ca="1" si="1"/>
        <v>1048.9549999999999</v>
      </c>
      <c r="H10" s="141">
        <f t="shared" ca="1" si="2"/>
        <v>58.904999999999973</v>
      </c>
      <c r="I10" s="512">
        <f t="shared" ca="1" si="3"/>
        <v>5.9496995101257486</v>
      </c>
      <c r="J10" s="141">
        <f t="shared" ca="1" si="8"/>
        <v>1048.9549999999999</v>
      </c>
      <c r="K10" s="141">
        <f t="shared" ca="1" si="4"/>
        <v>1179.28</v>
      </c>
      <c r="L10" s="141">
        <f t="shared" ca="1" si="5"/>
        <v>130.32500000000005</v>
      </c>
      <c r="M10" s="512">
        <f t="shared" ca="1" si="6"/>
        <v>12.424269868583499</v>
      </c>
      <c r="N10" s="237" t="s">
        <v>217</v>
      </c>
      <c r="O10" s="102" t="s">
        <v>402</v>
      </c>
      <c r="P10" s="100" t="s">
        <v>4</v>
      </c>
      <c r="Q10" s="100" t="s">
        <v>195</v>
      </c>
      <c r="R10" s="100" t="s">
        <v>281</v>
      </c>
      <c r="S10" s="100">
        <f>SUMIFS('Normalized Units'!I:I,'Normalized Units'!B:B,"Normalized Billing Units",'Normalized Units'!C:C,N$4,'Normalized Units'!D:D,P10,'Normalized Units'!F:F,Q10,'Normalized Units'!H:H,R10)</f>
        <v>24552.924358974364</v>
      </c>
      <c r="T10" s="334"/>
      <c r="U10" s="439"/>
      <c r="V10" s="158"/>
    </row>
    <row r="11" spans="1:22" s="159" customFormat="1">
      <c r="A11" s="227" t="s">
        <v>199</v>
      </c>
      <c r="B11" s="227" t="s">
        <v>524</v>
      </c>
      <c r="C11" s="327">
        <v>25</v>
      </c>
      <c r="D11" s="141">
        <v>300</v>
      </c>
      <c r="E11" s="141">
        <f t="shared" si="7"/>
        <v>7500</v>
      </c>
      <c r="F11" s="141">
        <f t="shared" si="0"/>
        <v>794.93499999999995</v>
      </c>
      <c r="G11" s="141">
        <f t="shared" ca="1" si="1"/>
        <v>831.86500000000001</v>
      </c>
      <c r="H11" s="141">
        <f t="shared" ca="1" si="2"/>
        <v>36.930000000000064</v>
      </c>
      <c r="I11" s="512">
        <f t="shared" ca="1" si="3"/>
        <v>4.6456628529376705</v>
      </c>
      <c r="J11" s="141">
        <f t="shared" ca="1" si="8"/>
        <v>831.86500000000001</v>
      </c>
      <c r="K11" s="141">
        <f t="shared" ca="1" si="4"/>
        <v>930.32</v>
      </c>
      <c r="L11" s="141">
        <f t="shared" ca="1" si="5"/>
        <v>98.455000000000041</v>
      </c>
      <c r="M11" s="512">
        <f t="shared" ca="1" si="6"/>
        <v>11.835454070071471</v>
      </c>
      <c r="N11" s="237" t="s">
        <v>217</v>
      </c>
      <c r="O11" s="102" t="s">
        <v>402</v>
      </c>
      <c r="P11" s="100" t="s">
        <v>4</v>
      </c>
      <c r="Q11" s="100" t="s">
        <v>195</v>
      </c>
      <c r="R11" s="100" t="s">
        <v>202</v>
      </c>
      <c r="S11" s="100">
        <f>SUMIFS('Normalized Units'!I:I,'Normalized Units'!B:B,"Normalized Billing Units",'Normalized Units'!C:C,N$4,'Normalized Units'!D:D,P11,'Normalized Units'!F:F,Q11,'Normalized Units'!H:H,R11)</f>
        <v>14515.131233595803</v>
      </c>
      <c r="T11" s="334"/>
      <c r="U11" s="439"/>
      <c r="V11" s="439"/>
    </row>
    <row r="12" spans="1:22" s="159" customFormat="1">
      <c r="A12" s="227" t="s">
        <v>199</v>
      </c>
      <c r="B12" s="227" t="s">
        <v>524</v>
      </c>
      <c r="C12" s="327">
        <v>25</v>
      </c>
      <c r="D12" s="141">
        <v>500</v>
      </c>
      <c r="E12" s="141">
        <f t="shared" si="7"/>
        <v>12500</v>
      </c>
      <c r="F12" s="141">
        <f t="shared" si="0"/>
        <v>1195.75</v>
      </c>
      <c r="G12" s="141">
        <f t="shared" ca="1" si="1"/>
        <v>1274.5150000000001</v>
      </c>
      <c r="H12" s="141">
        <f t="shared" ca="1" si="2"/>
        <v>78.7650000000001</v>
      </c>
      <c r="I12" s="512">
        <f t="shared" ca="1" si="3"/>
        <v>6.5870792389713646</v>
      </c>
      <c r="J12" s="141">
        <f t="shared" ca="1" si="8"/>
        <v>1274.5150000000001</v>
      </c>
      <c r="K12" s="141">
        <f t="shared" ca="1" si="4"/>
        <v>1431.42</v>
      </c>
      <c r="L12" s="141">
        <f t="shared" ca="1" si="5"/>
        <v>156.90499999999997</v>
      </c>
      <c r="M12" s="512">
        <f t="shared" ca="1" si="6"/>
        <v>12.310957501480953</v>
      </c>
      <c r="N12" s="237" t="s">
        <v>217</v>
      </c>
      <c r="O12" s="102" t="s">
        <v>402</v>
      </c>
      <c r="P12" s="100" t="s">
        <v>4</v>
      </c>
      <c r="Q12" s="100" t="s">
        <v>195</v>
      </c>
      <c r="R12" s="100" t="s">
        <v>396</v>
      </c>
      <c r="S12" s="100">
        <f>'Normalized Units'!U197+'Normalized Units'!J197+'Normalized Units'!K197+'Normalized Units'!L197</f>
        <v>4543828.2322019441</v>
      </c>
      <c r="T12" s="334"/>
      <c r="U12" s="439"/>
      <c r="V12" s="439"/>
    </row>
    <row r="13" spans="1:22" s="159" customFormat="1">
      <c r="A13" s="227" t="s">
        <v>199</v>
      </c>
      <c r="B13" s="227" t="s">
        <v>524</v>
      </c>
      <c r="C13" s="327">
        <v>25</v>
      </c>
      <c r="D13" s="141">
        <v>700</v>
      </c>
      <c r="E13" s="141">
        <f t="shared" si="7"/>
        <v>17500</v>
      </c>
      <c r="F13" s="141">
        <f t="shared" si="0"/>
        <v>1588.75</v>
      </c>
      <c r="G13" s="141">
        <f t="shared" ca="1" si="1"/>
        <v>1717.165</v>
      </c>
      <c r="H13" s="141">
        <f t="shared" ca="1" si="2"/>
        <v>128.41499999999996</v>
      </c>
      <c r="I13" s="512">
        <f t="shared" ca="1" si="3"/>
        <v>8.0827694728560164</v>
      </c>
      <c r="J13" s="141">
        <f t="shared" ca="1" si="8"/>
        <v>1717.165</v>
      </c>
      <c r="K13" s="141">
        <f t="shared" ca="1" si="4"/>
        <v>1932.52</v>
      </c>
      <c r="L13" s="141">
        <f t="shared" ca="1" si="5"/>
        <v>215.35500000000002</v>
      </c>
      <c r="M13" s="512">
        <f t="shared" ca="1" si="6"/>
        <v>12.541310823362927</v>
      </c>
      <c r="N13" s="237" t="s">
        <v>217</v>
      </c>
      <c r="O13" s="102" t="s">
        <v>402</v>
      </c>
      <c r="P13" s="100" t="s">
        <v>4</v>
      </c>
      <c r="Q13" s="100" t="s">
        <v>195</v>
      </c>
      <c r="R13" s="100" t="s">
        <v>394</v>
      </c>
      <c r="S13" s="100">
        <f>'Normalized Units'!M197+'Normalized Units'!N197+'Normalized Units'!O197+'Normalized Units'!P197+'Normalized Units'!Q197+'Normalized Units'!R197+'Normalized Units'!S197+'Normalized Units'!T197</f>
        <v>9022904.0179224666</v>
      </c>
      <c r="T13" s="334"/>
    </row>
    <row r="14" spans="1:22" s="159" customFormat="1">
      <c r="A14" s="227" t="s">
        <v>199</v>
      </c>
      <c r="B14" s="227" t="s">
        <v>524</v>
      </c>
      <c r="C14" s="327">
        <v>50</v>
      </c>
      <c r="D14" s="141">
        <v>300</v>
      </c>
      <c r="E14" s="141">
        <f t="shared" si="7"/>
        <v>15000</v>
      </c>
      <c r="F14" s="141">
        <f t="shared" si="0"/>
        <v>1513.5</v>
      </c>
      <c r="G14" s="141">
        <f t="shared" ca="1" si="1"/>
        <v>1617.0900000000001</v>
      </c>
      <c r="H14" s="141">
        <f t="shared" ca="1" si="2"/>
        <v>103.59000000000015</v>
      </c>
      <c r="I14" s="512">
        <f t="shared" ca="1" si="3"/>
        <v>6.8444003964321212</v>
      </c>
      <c r="J14" s="141">
        <f t="shared" ca="1" si="8"/>
        <v>1617.0900000000001</v>
      </c>
      <c r="K14" s="141">
        <f t="shared" ca="1" si="4"/>
        <v>1811.2200000000003</v>
      </c>
      <c r="L14" s="141">
        <f t="shared" ca="1" si="5"/>
        <v>194.13000000000011</v>
      </c>
      <c r="M14" s="512">
        <f t="shared" ca="1" si="6"/>
        <v>12.004897686585169</v>
      </c>
      <c r="N14" s="237" t="s">
        <v>217</v>
      </c>
      <c r="O14" s="102" t="s">
        <v>402</v>
      </c>
      <c r="P14" s="100" t="s">
        <v>4</v>
      </c>
      <c r="Q14" s="100" t="s">
        <v>195</v>
      </c>
      <c r="R14" s="100" t="s">
        <v>397</v>
      </c>
      <c r="S14" s="100">
        <f>'Normalized Units'!U198+'Normalized Units'!J198+'Normalized Units'!K198+'Normalized Units'!L198</f>
        <v>2388645.8613681756</v>
      </c>
      <c r="T14" s="334"/>
      <c r="U14" s="91"/>
    </row>
    <row r="15" spans="1:22" s="159" customFormat="1">
      <c r="A15" s="227" t="s">
        <v>199</v>
      </c>
      <c r="B15" s="227" t="s">
        <v>524</v>
      </c>
      <c r="C15" s="327">
        <v>50</v>
      </c>
      <c r="D15" s="141">
        <v>500</v>
      </c>
      <c r="E15" s="141">
        <f t="shared" si="7"/>
        <v>25000</v>
      </c>
      <c r="F15" s="141">
        <f t="shared" si="0"/>
        <v>2299.5</v>
      </c>
      <c r="G15" s="141">
        <f t="shared" ca="1" si="1"/>
        <v>2502.39</v>
      </c>
      <c r="H15" s="141">
        <f t="shared" ca="1" si="2"/>
        <v>202.88999999999987</v>
      </c>
      <c r="I15" s="512">
        <f t="shared" ca="1" si="3"/>
        <v>8.823222439660789</v>
      </c>
      <c r="J15" s="141">
        <f t="shared" ca="1" si="8"/>
        <v>2502.39</v>
      </c>
      <c r="K15" s="141">
        <f t="shared" ca="1" si="4"/>
        <v>2813.42</v>
      </c>
      <c r="L15" s="141">
        <f t="shared" ca="1" si="5"/>
        <v>311.0300000000002</v>
      </c>
      <c r="M15" s="512">
        <f t="shared" ca="1" si="6"/>
        <v>12.429317572400793</v>
      </c>
      <c r="N15" s="237" t="s">
        <v>217</v>
      </c>
      <c r="O15" s="102" t="s">
        <v>402</v>
      </c>
      <c r="P15" s="100" t="s">
        <v>4</v>
      </c>
      <c r="Q15" s="100" t="s">
        <v>195</v>
      </c>
      <c r="R15" s="100" t="s">
        <v>395</v>
      </c>
      <c r="S15" s="100">
        <f>'Normalized Units'!M198+'Normalized Units'!N198+'Normalized Units'!O198+'Normalized Units'!P198+'Normalized Units'!Q198+'Normalized Units'!R198+'Normalized Units'!S198+'Normalized Units'!T198</f>
        <v>4718794.3162805056</v>
      </c>
      <c r="T15" s="334"/>
    </row>
    <row r="16" spans="1:22" s="159" customFormat="1">
      <c r="A16" s="227" t="s">
        <v>199</v>
      </c>
      <c r="B16" s="227" t="s">
        <v>524</v>
      </c>
      <c r="C16" s="327">
        <v>50</v>
      </c>
      <c r="D16" s="141">
        <v>700</v>
      </c>
      <c r="E16" s="141">
        <f t="shared" si="7"/>
        <v>35000</v>
      </c>
      <c r="F16" s="141">
        <f t="shared" si="0"/>
        <v>3085.5</v>
      </c>
      <c r="G16" s="141">
        <f t="shared" ca="1" si="1"/>
        <v>3387.69</v>
      </c>
      <c r="H16" s="141">
        <f t="shared" ca="1" si="2"/>
        <v>302.19000000000005</v>
      </c>
      <c r="I16" s="512">
        <f t="shared" ca="1" si="3"/>
        <v>9.7938745746232385</v>
      </c>
      <c r="J16" s="141">
        <f t="shared" ca="1" si="8"/>
        <v>3387.69</v>
      </c>
      <c r="K16" s="141">
        <f t="shared" ca="1" si="4"/>
        <v>3815.62</v>
      </c>
      <c r="L16" s="141">
        <f t="shared" ca="1" si="5"/>
        <v>427.92999999999984</v>
      </c>
      <c r="M16" s="512">
        <f t="shared" ca="1" si="6"/>
        <v>12.63191142046645</v>
      </c>
      <c r="N16" s="237" t="s">
        <v>217</v>
      </c>
      <c r="O16" s="102" t="s">
        <v>402</v>
      </c>
      <c r="P16" s="100" t="s">
        <v>4</v>
      </c>
      <c r="Q16" s="100" t="s">
        <v>195</v>
      </c>
      <c r="R16" s="100" t="s">
        <v>398</v>
      </c>
      <c r="S16" s="100">
        <f>'Normalized Units'!U199+'Normalized Units'!J199+'Normalized Units'!K199+'Normalized Units'!L199</f>
        <v>320577.79258987459</v>
      </c>
      <c r="T16" s="334"/>
    </row>
    <row r="17" spans="1:21" s="159" customFormat="1">
      <c r="A17" s="227" t="s">
        <v>199</v>
      </c>
      <c r="B17" s="227" t="s">
        <v>524</v>
      </c>
      <c r="C17" s="327">
        <v>75</v>
      </c>
      <c r="D17" s="141">
        <v>300</v>
      </c>
      <c r="E17" s="141">
        <f t="shared" si="7"/>
        <v>22500</v>
      </c>
      <c r="F17" s="141">
        <f t="shared" si="0"/>
        <v>2224.25</v>
      </c>
      <c r="G17" s="141">
        <f t="shared" ca="1" si="1"/>
        <v>2402.3150000000001</v>
      </c>
      <c r="H17" s="141">
        <f t="shared" ca="1" si="2"/>
        <v>178.06500000000005</v>
      </c>
      <c r="I17" s="512">
        <f t="shared" ca="1" si="3"/>
        <v>8.0056198718669247</v>
      </c>
      <c r="J17" s="141">
        <f t="shared" ca="1" si="8"/>
        <v>2402.3150000000001</v>
      </c>
      <c r="K17" s="141">
        <f t="shared" ca="1" si="4"/>
        <v>2692.12</v>
      </c>
      <c r="L17" s="141">
        <f t="shared" ca="1" si="5"/>
        <v>289.80499999999984</v>
      </c>
      <c r="M17" s="512">
        <f t="shared" ca="1" si="6"/>
        <v>12.063572012829285</v>
      </c>
      <c r="N17" s="237" t="s">
        <v>217</v>
      </c>
      <c r="O17" s="102" t="s">
        <v>402</v>
      </c>
      <c r="P17" s="100" t="s">
        <v>4</v>
      </c>
      <c r="Q17" s="100" t="s">
        <v>195</v>
      </c>
      <c r="R17" s="100" t="s">
        <v>399</v>
      </c>
      <c r="S17" s="100">
        <f>'Normalized Units'!M199+'Normalized Units'!N199+'Normalized Units'!O199+'Normalized Units'!P199+'Normalized Units'!Q199+'Normalized Units'!R199+'Normalized Units'!S199+'Normalized Units'!T199</f>
        <v>609628.61704140075</v>
      </c>
      <c r="T17" s="334"/>
    </row>
    <row r="18" spans="1:21" s="159" customFormat="1">
      <c r="A18" s="227" t="s">
        <v>199</v>
      </c>
      <c r="B18" s="227" t="s">
        <v>524</v>
      </c>
      <c r="C18" s="327">
        <v>75</v>
      </c>
      <c r="D18" s="141">
        <v>500</v>
      </c>
      <c r="E18" s="141">
        <f t="shared" si="7"/>
        <v>37500</v>
      </c>
      <c r="F18" s="141">
        <f t="shared" si="0"/>
        <v>3403.25</v>
      </c>
      <c r="G18" s="141">
        <f t="shared" ca="1" si="1"/>
        <v>3730.2649999999999</v>
      </c>
      <c r="H18" s="141">
        <f t="shared" ca="1" si="2"/>
        <v>327.01499999999987</v>
      </c>
      <c r="I18" s="512">
        <f t="shared" ca="1" si="3"/>
        <v>9.6089032542422661</v>
      </c>
      <c r="J18" s="141">
        <f t="shared" ca="1" si="8"/>
        <v>3730.2649999999999</v>
      </c>
      <c r="K18" s="141">
        <f t="shared" ca="1" si="4"/>
        <v>4195.42</v>
      </c>
      <c r="L18" s="141">
        <f t="shared" ca="1" si="5"/>
        <v>465.1550000000002</v>
      </c>
      <c r="M18" s="512">
        <f t="shared" ca="1" si="6"/>
        <v>12.469757510525397</v>
      </c>
      <c r="N18" s="263" t="s">
        <v>217</v>
      </c>
      <c r="O18" s="150" t="s">
        <v>402</v>
      </c>
      <c r="P18" s="152" t="s">
        <v>4</v>
      </c>
      <c r="Q18" s="152" t="s">
        <v>195</v>
      </c>
      <c r="R18" s="152" t="s">
        <v>201</v>
      </c>
      <c r="S18" s="152">
        <f>SUMIFS('Normalized Units'!I:I,'Normalized Units'!B:B,"Normalized Billing Units",'Normalized Units'!C:C,N$4,'Normalized Units'!D:D,P18,'Normalized Units'!F:F,Q18,'Normalized Units'!H:H,R18)</f>
        <v>113</v>
      </c>
      <c r="T18" s="334"/>
    </row>
    <row r="19" spans="1:21" s="159" customFormat="1">
      <c r="A19" s="227" t="s">
        <v>199</v>
      </c>
      <c r="B19" s="227" t="s">
        <v>524</v>
      </c>
      <c r="C19" s="327">
        <v>75</v>
      </c>
      <c r="D19" s="141">
        <v>700</v>
      </c>
      <c r="E19" s="141">
        <f t="shared" si="7"/>
        <v>52500</v>
      </c>
      <c r="F19" s="141">
        <f t="shared" si="0"/>
        <v>4582.25</v>
      </c>
      <c r="G19" s="141">
        <f t="shared" ca="1" si="1"/>
        <v>5058.2150000000001</v>
      </c>
      <c r="H19" s="141">
        <f t="shared" ca="1" si="2"/>
        <v>475.96500000000015</v>
      </c>
      <c r="I19" s="512">
        <f t="shared" ca="1" si="3"/>
        <v>10.38714605270337</v>
      </c>
      <c r="J19" s="141">
        <f t="shared" ca="1" si="8"/>
        <v>5058.2150000000001</v>
      </c>
      <c r="K19" s="141">
        <f t="shared" ca="1" si="4"/>
        <v>5698.72</v>
      </c>
      <c r="L19" s="141">
        <f t="shared" ca="1" si="5"/>
        <v>640.50500000000011</v>
      </c>
      <c r="M19" s="512">
        <f t="shared" ca="1" si="6"/>
        <v>12.662668550071517</v>
      </c>
      <c r="N19" s="262" t="s">
        <v>217</v>
      </c>
      <c r="O19" s="145" t="s">
        <v>402</v>
      </c>
      <c r="P19" s="144" t="s">
        <v>5</v>
      </c>
      <c r="Q19" s="144" t="s">
        <v>199</v>
      </c>
      <c r="R19" s="144" t="s">
        <v>335</v>
      </c>
      <c r="S19" s="144">
        <f>SUMIFS('Normalized Units'!I:I,'Normalized Units'!B:B,"Normalized Billing Units",'Normalized Units'!C:C,N$4,'Normalized Units'!D:D,P19,'Normalized Units'!F:F,Q19,'Normalized Units'!H:H,R19)</f>
        <v>137486.80000000002</v>
      </c>
      <c r="T19" s="334"/>
      <c r="U19" s="91"/>
    </row>
    <row r="20" spans="1:21" s="159" customFormat="1">
      <c r="A20" s="227" t="s">
        <v>199</v>
      </c>
      <c r="B20" s="227" t="s">
        <v>524</v>
      </c>
      <c r="C20" s="327">
        <v>100</v>
      </c>
      <c r="D20" s="141">
        <v>300</v>
      </c>
      <c r="E20" s="141">
        <f t="shared" si="7"/>
        <v>30000</v>
      </c>
      <c r="F20" s="141">
        <f t="shared" si="0"/>
        <v>2935</v>
      </c>
      <c r="G20" s="141">
        <f t="shared" ca="1" si="1"/>
        <v>3187.54</v>
      </c>
      <c r="H20" s="141">
        <f t="shared" ca="1" si="2"/>
        <v>252.53999999999996</v>
      </c>
      <c r="I20" s="512">
        <f t="shared" ca="1" si="3"/>
        <v>8.6044293015332194</v>
      </c>
      <c r="J20" s="141">
        <f t="shared" ca="1" si="8"/>
        <v>3187.54</v>
      </c>
      <c r="K20" s="141">
        <f t="shared" ca="1" si="4"/>
        <v>3573.02</v>
      </c>
      <c r="L20" s="141">
        <f t="shared" ca="1" si="5"/>
        <v>385.48</v>
      </c>
      <c r="M20" s="512">
        <f t="shared" ca="1" si="6"/>
        <v>12.093338436537268</v>
      </c>
      <c r="N20" s="237" t="s">
        <v>217</v>
      </c>
      <c r="O20" s="102" t="s">
        <v>402</v>
      </c>
      <c r="P20" s="100" t="s">
        <v>5</v>
      </c>
      <c r="Q20" s="100" t="s">
        <v>199</v>
      </c>
      <c r="R20" s="100" t="s">
        <v>336</v>
      </c>
      <c r="S20" s="100">
        <f>SUMIFS('Normalized Units'!I:I,'Normalized Units'!B:B,"Normalized Billing Units",'Normalized Units'!C:C,N$4,'Normalized Units'!D:D,P20,'Normalized Units'!F:F,Q20,'Normalized Units'!H:H,R20)</f>
        <v>2.6301369863013697</v>
      </c>
      <c r="T20" s="334"/>
      <c r="U20" s="91"/>
    </row>
    <row r="21" spans="1:21" s="159" customFormat="1">
      <c r="A21" s="227" t="s">
        <v>199</v>
      </c>
      <c r="B21" s="227" t="s">
        <v>524</v>
      </c>
      <c r="C21" s="327">
        <v>100</v>
      </c>
      <c r="D21" s="141">
        <v>500</v>
      </c>
      <c r="E21" s="141">
        <f t="shared" si="7"/>
        <v>50000</v>
      </c>
      <c r="F21" s="141">
        <f t="shared" si="0"/>
        <v>4507</v>
      </c>
      <c r="G21" s="141">
        <f t="shared" ca="1" si="1"/>
        <v>4958.1400000000003</v>
      </c>
      <c r="H21" s="141">
        <f t="shared" ca="1" si="2"/>
        <v>451.14000000000033</v>
      </c>
      <c r="I21" s="512">
        <f t="shared" ca="1" si="3"/>
        <v>10.009762591524304</v>
      </c>
      <c r="J21" s="141">
        <f t="shared" ca="1" si="8"/>
        <v>4958.1400000000003</v>
      </c>
      <c r="K21" s="141">
        <f t="shared" ca="1" si="4"/>
        <v>5577.42</v>
      </c>
      <c r="L21" s="141">
        <f t="shared" ca="1" si="5"/>
        <v>619.27999999999975</v>
      </c>
      <c r="M21" s="512">
        <f t="shared" ca="1" si="6"/>
        <v>12.49016768384918</v>
      </c>
      <c r="N21" s="237" t="s">
        <v>217</v>
      </c>
      <c r="O21" s="102" t="s">
        <v>402</v>
      </c>
      <c r="P21" s="100" t="s">
        <v>5</v>
      </c>
      <c r="Q21" s="100" t="s">
        <v>200</v>
      </c>
      <c r="R21" s="100" t="s">
        <v>335</v>
      </c>
      <c r="S21" s="100">
        <f>SUMIFS('Normalized Units'!I:I,'Normalized Units'!B:B,"Normalized Billing Units",'Normalized Units'!C:C,N$4,'Normalized Units'!D:D,P21,'Normalized Units'!F:F,Q21,'Normalized Units'!H:H,R21)</f>
        <v>64614.799999999988</v>
      </c>
      <c r="T21" s="334"/>
      <c r="U21" s="91"/>
    </row>
    <row r="22" spans="1:21" s="159" customFormat="1">
      <c r="A22" s="227" t="s">
        <v>199</v>
      </c>
      <c r="B22" s="227" t="s">
        <v>524</v>
      </c>
      <c r="C22" s="327">
        <v>100</v>
      </c>
      <c r="D22" s="141">
        <v>700</v>
      </c>
      <c r="E22" s="141">
        <f t="shared" si="7"/>
        <v>70000</v>
      </c>
      <c r="F22" s="141">
        <f t="shared" si="0"/>
        <v>6079</v>
      </c>
      <c r="G22" s="141">
        <f t="shared" ca="1" si="1"/>
        <v>6728.74</v>
      </c>
      <c r="H22" s="141">
        <f t="shared" ca="1" si="2"/>
        <v>649.73999999999978</v>
      </c>
      <c r="I22" s="512">
        <f t="shared" ca="1" si="3"/>
        <v>10.688271097219934</v>
      </c>
      <c r="J22" s="141">
        <f t="shared" ca="1" si="8"/>
        <v>6728.74</v>
      </c>
      <c r="K22" s="141">
        <f t="shared" ca="1" si="4"/>
        <v>7581.8200000000006</v>
      </c>
      <c r="L22" s="141">
        <f t="shared" ca="1" si="5"/>
        <v>853.08000000000084</v>
      </c>
      <c r="M22" s="512">
        <f t="shared" ca="1" si="6"/>
        <v>12.678153710798764</v>
      </c>
      <c r="N22" s="237" t="s">
        <v>217</v>
      </c>
      <c r="O22" s="102" t="s">
        <v>402</v>
      </c>
      <c r="P22" s="100" t="s">
        <v>5</v>
      </c>
      <c r="Q22" s="100" t="s">
        <v>200</v>
      </c>
      <c r="R22" s="100" t="s">
        <v>336</v>
      </c>
      <c r="S22" s="100">
        <f>SUMIFS('Normalized Units'!I:I,'Normalized Units'!B:B,"Normalized Billing Units",'Normalized Units'!C:C,N$4,'Normalized Units'!D:D,P22,'Normalized Units'!F:F,Q22,'Normalized Units'!H:H,R22)</f>
        <v>63.471232876712314</v>
      </c>
      <c r="T22" s="334"/>
      <c r="U22" s="91"/>
    </row>
    <row r="23" spans="1:21" s="159" customFormat="1">
      <c r="A23" s="402" t="s">
        <v>517</v>
      </c>
      <c r="B23" s="353"/>
      <c r="C23" s="353"/>
      <c r="D23" s="353"/>
      <c r="E23" s="353"/>
      <c r="F23" s="353"/>
      <c r="G23" s="353"/>
      <c r="H23" s="353"/>
      <c r="I23" s="523"/>
      <c r="J23" s="353"/>
      <c r="K23" s="353"/>
      <c r="L23" s="353"/>
      <c r="M23" s="526"/>
      <c r="N23" s="237" t="s">
        <v>217</v>
      </c>
      <c r="O23" s="102" t="s">
        <v>402</v>
      </c>
      <c r="P23" s="100" t="s">
        <v>5</v>
      </c>
      <c r="Q23" s="100" t="s">
        <v>195</v>
      </c>
      <c r="R23" s="100" t="s">
        <v>281</v>
      </c>
      <c r="S23" s="100">
        <f>SUMIFS('Normalized Units'!I:I,'Normalized Units'!B:B,"Normalized Billing Units",'Normalized Units'!C:C,N$4,'Normalized Units'!D:D,P23,'Normalized Units'!F:F,Q23,'Normalized Units'!H:H,R23)</f>
        <v>1187878.7378205128</v>
      </c>
      <c r="T23" s="334"/>
      <c r="U23" s="91"/>
    </row>
    <row r="24" spans="1:21" s="159" customFormat="1">
      <c r="A24" s="393" t="s">
        <v>518</v>
      </c>
      <c r="B24" s="143"/>
      <c r="C24" s="143"/>
      <c r="D24" s="143"/>
      <c r="E24" s="143"/>
      <c r="F24" s="143"/>
      <c r="G24" s="143"/>
      <c r="H24" s="143"/>
      <c r="I24" s="524"/>
      <c r="J24" s="143"/>
      <c r="K24" s="143"/>
      <c r="L24" s="143"/>
      <c r="M24" s="527"/>
      <c r="N24" s="237" t="s">
        <v>217</v>
      </c>
      <c r="O24" s="102" t="s">
        <v>402</v>
      </c>
      <c r="P24" s="100" t="s">
        <v>5</v>
      </c>
      <c r="Q24" s="100" t="s">
        <v>195</v>
      </c>
      <c r="R24" s="100" t="s">
        <v>283</v>
      </c>
      <c r="S24" s="100">
        <f>SUMIFS('Normalized Units'!I:I,'Normalized Units'!B:B,"Normalized Billing Units",'Normalized Units'!C:C,N$4,'Normalized Units'!D:D,P24,'Normalized Units'!F:F,Q24,'Normalized Units'!H:H,R24)</f>
        <v>2130.0812961011588</v>
      </c>
      <c r="T24" s="334"/>
      <c r="U24" s="91"/>
    </row>
    <row r="25" spans="1:21" s="159" customFormat="1">
      <c r="A25" s="338" t="s">
        <v>523</v>
      </c>
      <c r="B25" s="354"/>
      <c r="C25" s="354"/>
      <c r="D25" s="354"/>
      <c r="E25" s="354"/>
      <c r="F25" s="354"/>
      <c r="G25" s="354"/>
      <c r="H25" s="354"/>
      <c r="I25" s="525"/>
      <c r="J25" s="354"/>
      <c r="K25" s="354"/>
      <c r="L25" s="354"/>
      <c r="M25" s="528"/>
      <c r="N25" s="237" t="s">
        <v>217</v>
      </c>
      <c r="O25" s="102" t="s">
        <v>402</v>
      </c>
      <c r="P25" s="100" t="s">
        <v>5</v>
      </c>
      <c r="Q25" s="100" t="s">
        <v>195</v>
      </c>
      <c r="R25" s="100" t="s">
        <v>202</v>
      </c>
      <c r="S25" s="100">
        <f>SUMIFS('Normalized Units'!I:I,'Normalized Units'!B:B,"Normalized Billing Units",'Normalized Units'!C:C,N$4,'Normalized Units'!D:D,P25,'Normalized Units'!F:F,Q25,'Normalized Units'!H:H,R25)</f>
        <v>715183.48293963249</v>
      </c>
      <c r="T25" s="334"/>
      <c r="U25" s="91"/>
    </row>
    <row r="26" spans="1:21" s="159" customFormat="1">
      <c r="A26" s="227" t="s">
        <v>199</v>
      </c>
      <c r="B26" s="227" t="s">
        <v>525</v>
      </c>
      <c r="C26" s="327">
        <v>15</v>
      </c>
      <c r="D26" s="141">
        <v>300</v>
      </c>
      <c r="E26" s="141">
        <f>C26*D26</f>
        <v>4500</v>
      </c>
      <c r="F26" s="141">
        <f t="shared" ref="F26:F40" si="9">SUMIFS(S$52:S$55,Q$52:Q$55,A26,R$52:R$55,"Bill")+(S$56+S$58)*C26+S$59*1000+IF(E26&lt;=9000,S$60*(E26-1000),S$60*8000+S$61*(E26-9000))</f>
        <v>495.005</v>
      </c>
      <c r="G26" s="141">
        <f t="shared" ref="G26:G40" ca="1" si="10">SUMIFS(S$115:S$118,Q$115:Q$118,A26,R$115:R$118,"Bill")+(S$119+S$121)*C26+IF(B26="Summer",S$122,IF(B26="Winter",S$123,AF$123))*1000+IF(B26="Summer",S$124,IF(B26="Winter",S$125,AF$125))*(E26-1000)</f>
        <v>474.53000000000003</v>
      </c>
      <c r="H26" s="141">
        <f t="shared" ref="H26:H40" ca="1" si="11">G26-F26</f>
        <v>-20.474999999999966</v>
      </c>
      <c r="I26" s="512">
        <f t="shared" ref="I26:I40" ca="1" si="12">H26/F26*100</f>
        <v>-4.1363218553347876</v>
      </c>
      <c r="J26" s="141">
        <f ca="1">G26</f>
        <v>474.53000000000003</v>
      </c>
      <c r="K26" s="141">
        <f t="shared" ref="K26:K40" ca="1" si="13">SUMIFS(S$192:S$195,Q$192:Q$195,A26,R$192:R$195,"Bill")+(S$196+S$198)*C26+IF(B26="Summer",S$199,IF(B26="Winter",S$200,AF$200))*1000+IF(B26="Summer",S$201,IF(B26="Winter",S$202,AF$202))*(E26-1000)</f>
        <v>491.51499999999999</v>
      </c>
      <c r="L26" s="141">
        <f t="shared" ref="L26:L40" ca="1" si="14">K26-J26</f>
        <v>16.984999999999957</v>
      </c>
      <c r="M26" s="512">
        <f t="shared" ref="M26:M40" ca="1" si="15">L26/J26*100</f>
        <v>3.5793311276420785</v>
      </c>
      <c r="N26" s="237" t="s">
        <v>217</v>
      </c>
      <c r="O26" s="102" t="s">
        <v>402</v>
      </c>
      <c r="P26" s="100" t="s">
        <v>5</v>
      </c>
      <c r="Q26" s="100" t="s">
        <v>195</v>
      </c>
      <c r="R26" s="100" t="s">
        <v>396</v>
      </c>
      <c r="S26" s="100">
        <f>'Normalized Units'!U200+'Normalized Units'!J200+'Normalized Units'!K200+'Normalized Units'!L200</f>
        <v>40665144.85601677</v>
      </c>
      <c r="T26" s="334"/>
      <c r="U26" s="91"/>
    </row>
    <row r="27" spans="1:21" s="159" customFormat="1">
      <c r="A27" s="227" t="s">
        <v>199</v>
      </c>
      <c r="B27" s="227" t="s">
        <v>525</v>
      </c>
      <c r="C27" s="327">
        <v>15</v>
      </c>
      <c r="D27" s="141">
        <v>500</v>
      </c>
      <c r="E27" s="141">
        <f t="shared" ref="E27:E40" si="16">C27*D27</f>
        <v>7500</v>
      </c>
      <c r="F27" s="141">
        <f t="shared" si="9"/>
        <v>746.43499999999995</v>
      </c>
      <c r="G27" s="141">
        <f t="shared" ca="1" si="10"/>
        <v>711.29</v>
      </c>
      <c r="H27" s="141">
        <f t="shared" ca="1" si="11"/>
        <v>-35.144999999999982</v>
      </c>
      <c r="I27" s="512">
        <f t="shared" ca="1" si="12"/>
        <v>-4.7083805019861051</v>
      </c>
      <c r="J27" s="141">
        <f t="shared" ref="J27:J40" ca="1" si="17">G27</f>
        <v>711.29</v>
      </c>
      <c r="K27" s="141">
        <f t="shared" ca="1" si="13"/>
        <v>734.54499999999996</v>
      </c>
      <c r="L27" s="141">
        <f t="shared" ca="1" si="14"/>
        <v>23.254999999999995</v>
      </c>
      <c r="M27" s="512">
        <f t="shared" ca="1" si="15"/>
        <v>3.2694119135654933</v>
      </c>
      <c r="N27" s="237" t="s">
        <v>217</v>
      </c>
      <c r="O27" s="102" t="s">
        <v>402</v>
      </c>
      <c r="P27" s="100" t="s">
        <v>5</v>
      </c>
      <c r="Q27" s="100" t="s">
        <v>195</v>
      </c>
      <c r="R27" s="100" t="s">
        <v>394</v>
      </c>
      <c r="S27" s="100">
        <f>'Normalized Units'!M200+'Normalized Units'!N200+'Normalized Units'!O200+'Normalized Units'!P200+'Normalized Units'!Q200+'Normalized Units'!R200+'Normalized Units'!S200+'Normalized Units'!T200</f>
        <v>84302260.980933905</v>
      </c>
      <c r="T27" s="334"/>
      <c r="U27" s="91"/>
    </row>
    <row r="28" spans="1:21" s="159" customFormat="1">
      <c r="A28" s="227" t="s">
        <v>199</v>
      </c>
      <c r="B28" s="227" t="s">
        <v>525</v>
      </c>
      <c r="C28" s="327">
        <v>15</v>
      </c>
      <c r="D28" s="141">
        <v>700</v>
      </c>
      <c r="E28" s="141">
        <f t="shared" si="16"/>
        <v>10500</v>
      </c>
      <c r="F28" s="141">
        <f t="shared" si="9"/>
        <v>990.05</v>
      </c>
      <c r="G28" s="141">
        <f t="shared" ca="1" si="10"/>
        <v>948.05</v>
      </c>
      <c r="H28" s="141">
        <f t="shared" ca="1" si="11"/>
        <v>-42</v>
      </c>
      <c r="I28" s="512">
        <f t="shared" ca="1" si="12"/>
        <v>-4.2422099893944747</v>
      </c>
      <c r="J28" s="141">
        <f t="shared" ca="1" si="17"/>
        <v>948.05</v>
      </c>
      <c r="K28" s="141">
        <f t="shared" ca="1" si="13"/>
        <v>977.57500000000005</v>
      </c>
      <c r="L28" s="141">
        <f t="shared" ca="1" si="14"/>
        <v>29.525000000000091</v>
      </c>
      <c r="M28" s="512">
        <f t="shared" ca="1" si="15"/>
        <v>3.1142872211381354</v>
      </c>
      <c r="N28" s="237" t="s">
        <v>217</v>
      </c>
      <c r="O28" s="102" t="s">
        <v>402</v>
      </c>
      <c r="P28" s="100" t="s">
        <v>5</v>
      </c>
      <c r="Q28" s="100" t="s">
        <v>195</v>
      </c>
      <c r="R28" s="100" t="s">
        <v>397</v>
      </c>
      <c r="S28" s="100">
        <f>'Normalized Units'!U201+'Normalized Units'!J201+'Normalized Units'!K201+'Normalized Units'!L201</f>
        <v>94280285.642981142</v>
      </c>
      <c r="T28" s="334"/>
      <c r="U28" s="91"/>
    </row>
    <row r="29" spans="1:21" s="159" customFormat="1">
      <c r="A29" s="227" t="s">
        <v>199</v>
      </c>
      <c r="B29" s="227" t="s">
        <v>525</v>
      </c>
      <c r="C29" s="327">
        <v>25</v>
      </c>
      <c r="D29" s="141">
        <v>300</v>
      </c>
      <c r="E29" s="141">
        <f t="shared" si="16"/>
        <v>7500</v>
      </c>
      <c r="F29" s="141">
        <f t="shared" si="9"/>
        <v>794.93499999999995</v>
      </c>
      <c r="G29" s="141">
        <f t="shared" ca="1" si="10"/>
        <v>759.79</v>
      </c>
      <c r="H29" s="141">
        <f t="shared" ca="1" si="11"/>
        <v>-35.144999999999982</v>
      </c>
      <c r="I29" s="512">
        <f t="shared" ca="1" si="12"/>
        <v>-4.4211161918899009</v>
      </c>
      <c r="J29" s="141">
        <f t="shared" ca="1" si="17"/>
        <v>759.79</v>
      </c>
      <c r="K29" s="141">
        <f t="shared" ca="1" si="13"/>
        <v>786.24499999999989</v>
      </c>
      <c r="L29" s="141">
        <f t="shared" ca="1" si="14"/>
        <v>26.454999999999927</v>
      </c>
      <c r="M29" s="512">
        <f t="shared" ca="1" si="15"/>
        <v>3.4818831519235482</v>
      </c>
      <c r="N29" s="237" t="s">
        <v>217</v>
      </c>
      <c r="O29" s="102" t="s">
        <v>402</v>
      </c>
      <c r="P29" s="100" t="s">
        <v>5</v>
      </c>
      <c r="Q29" s="100" t="s">
        <v>195</v>
      </c>
      <c r="R29" s="100" t="s">
        <v>395</v>
      </c>
      <c r="S29" s="100">
        <f>'Normalized Units'!M201+'Normalized Units'!N201+'Normalized Units'!O201+'Normalized Units'!P201+'Normalized Units'!Q201+'Normalized Units'!R201+'Normalized Units'!S201+'Normalized Units'!T201</f>
        <v>178859455.26006928</v>
      </c>
      <c r="T29" s="334"/>
      <c r="U29" s="91"/>
    </row>
    <row r="30" spans="1:21" s="159" customFormat="1">
      <c r="A30" s="227" t="s">
        <v>199</v>
      </c>
      <c r="B30" s="227" t="s">
        <v>525</v>
      </c>
      <c r="C30" s="327">
        <v>25</v>
      </c>
      <c r="D30" s="141">
        <v>500</v>
      </c>
      <c r="E30" s="141">
        <f t="shared" si="16"/>
        <v>12500</v>
      </c>
      <c r="F30" s="141">
        <f t="shared" si="9"/>
        <v>1195.75</v>
      </c>
      <c r="G30" s="141">
        <f t="shared" ca="1" si="10"/>
        <v>1154.3900000000001</v>
      </c>
      <c r="H30" s="141">
        <f t="shared" ca="1" si="11"/>
        <v>-41.3599999999999</v>
      </c>
      <c r="I30" s="512">
        <f t="shared" ca="1" si="12"/>
        <v>-3.4589169977001797</v>
      </c>
      <c r="J30" s="141">
        <f t="shared" ca="1" si="17"/>
        <v>1154.3900000000001</v>
      </c>
      <c r="K30" s="141">
        <f t="shared" ca="1" si="13"/>
        <v>1191.2950000000001</v>
      </c>
      <c r="L30" s="141">
        <f t="shared" ca="1" si="14"/>
        <v>36.904999999999973</v>
      </c>
      <c r="M30" s="512">
        <f t="shared" ca="1" si="15"/>
        <v>3.1969265153024513</v>
      </c>
      <c r="N30" s="237" t="s">
        <v>217</v>
      </c>
      <c r="O30" s="102" t="s">
        <v>402</v>
      </c>
      <c r="P30" s="100" t="s">
        <v>5</v>
      </c>
      <c r="Q30" s="100" t="s">
        <v>195</v>
      </c>
      <c r="R30" s="100" t="s">
        <v>398</v>
      </c>
      <c r="S30" s="100">
        <f>'Normalized Units'!U202+'Normalized Units'!J202+'Normalized Units'!K202+'Normalized Units'!L202</f>
        <v>44281607.6443692</v>
      </c>
      <c r="T30" s="334"/>
      <c r="U30" s="91"/>
    </row>
    <row r="31" spans="1:21" s="159" customFormat="1">
      <c r="A31" s="227" t="s">
        <v>199</v>
      </c>
      <c r="B31" s="227" t="s">
        <v>525</v>
      </c>
      <c r="C31" s="327">
        <v>25</v>
      </c>
      <c r="D31" s="141">
        <v>700</v>
      </c>
      <c r="E31" s="141">
        <f t="shared" si="16"/>
        <v>17500</v>
      </c>
      <c r="F31" s="141">
        <f t="shared" si="9"/>
        <v>1588.75</v>
      </c>
      <c r="G31" s="141">
        <f t="shared" ca="1" si="10"/>
        <v>1548.99</v>
      </c>
      <c r="H31" s="141">
        <f t="shared" ca="1" si="11"/>
        <v>-39.759999999999991</v>
      </c>
      <c r="I31" s="512">
        <f t="shared" ca="1" si="12"/>
        <v>-2.5025963808025171</v>
      </c>
      <c r="J31" s="141">
        <f t="shared" ca="1" si="17"/>
        <v>1548.99</v>
      </c>
      <c r="K31" s="141">
        <f t="shared" ca="1" si="13"/>
        <v>1596.345</v>
      </c>
      <c r="L31" s="141">
        <f t="shared" ca="1" si="14"/>
        <v>47.355000000000018</v>
      </c>
      <c r="M31" s="512">
        <f t="shared" ca="1" si="15"/>
        <v>3.0571533709062049</v>
      </c>
      <c r="N31" s="237" t="s">
        <v>217</v>
      </c>
      <c r="O31" s="102" t="s">
        <v>402</v>
      </c>
      <c r="P31" s="100" t="s">
        <v>5</v>
      </c>
      <c r="Q31" s="100" t="s">
        <v>195</v>
      </c>
      <c r="R31" s="100" t="s">
        <v>399</v>
      </c>
      <c r="S31" s="100">
        <f>'Normalized Units'!M202+'Normalized Units'!N202+'Normalized Units'!O202+'Normalized Units'!P202+'Normalized Units'!Q202+'Normalized Units'!R202+'Normalized Units'!S202+'Normalized Units'!T202</f>
        <v>65014231.927946553</v>
      </c>
      <c r="T31" s="334"/>
      <c r="U31" s="91"/>
    </row>
    <row r="32" spans="1:21" s="159" customFormat="1">
      <c r="A32" s="227" t="s">
        <v>199</v>
      </c>
      <c r="B32" s="227" t="s">
        <v>525</v>
      </c>
      <c r="C32" s="327">
        <v>50</v>
      </c>
      <c r="D32" s="141">
        <v>300</v>
      </c>
      <c r="E32" s="141">
        <f t="shared" si="16"/>
        <v>15000</v>
      </c>
      <c r="F32" s="141">
        <f t="shared" si="9"/>
        <v>1513.5</v>
      </c>
      <c r="G32" s="141">
        <f t="shared" ca="1" si="10"/>
        <v>1472.94</v>
      </c>
      <c r="H32" s="141">
        <f t="shared" ca="1" si="11"/>
        <v>-40.559999999999945</v>
      </c>
      <c r="I32" s="512">
        <f t="shared" ca="1" si="12"/>
        <v>-2.679881070366696</v>
      </c>
      <c r="J32" s="141">
        <f t="shared" ca="1" si="17"/>
        <v>1472.94</v>
      </c>
      <c r="K32" s="141">
        <f t="shared" ca="1" si="13"/>
        <v>1523.07</v>
      </c>
      <c r="L32" s="141">
        <f t="shared" ca="1" si="14"/>
        <v>50.129999999999882</v>
      </c>
      <c r="M32" s="512">
        <f t="shared" ca="1" si="15"/>
        <v>3.4033972870585281</v>
      </c>
      <c r="N32" s="237" t="s">
        <v>217</v>
      </c>
      <c r="O32" s="102" t="s">
        <v>402</v>
      </c>
      <c r="P32" s="100" t="s">
        <v>5</v>
      </c>
      <c r="Q32" s="100" t="s">
        <v>195</v>
      </c>
      <c r="R32" s="100" t="s">
        <v>201</v>
      </c>
      <c r="S32" s="100">
        <f>SUMIFS('Normalized Units'!I:I,'Normalized Units'!B:B,"Normalized Billing Units",'Normalized Units'!C:C,N$4,'Normalized Units'!D:D,P32,'Normalized Units'!F:F,Q32,'Normalized Units'!H:H,R32)</f>
        <v>108913.48275862068</v>
      </c>
      <c r="T32" s="334"/>
      <c r="U32" s="91"/>
    </row>
    <row r="33" spans="1:21" s="159" customFormat="1">
      <c r="A33" s="227" t="s">
        <v>199</v>
      </c>
      <c r="B33" s="227" t="s">
        <v>525</v>
      </c>
      <c r="C33" s="327">
        <v>50</v>
      </c>
      <c r="D33" s="141">
        <v>500</v>
      </c>
      <c r="E33" s="141">
        <f t="shared" si="16"/>
        <v>25000</v>
      </c>
      <c r="F33" s="141">
        <f t="shared" si="9"/>
        <v>2299.5</v>
      </c>
      <c r="G33" s="141">
        <f t="shared" ca="1" si="10"/>
        <v>2262.1400000000003</v>
      </c>
      <c r="H33" s="141">
        <f t="shared" ca="1" si="11"/>
        <v>-37.359999999999673</v>
      </c>
      <c r="I33" s="512">
        <f t="shared" ca="1" si="12"/>
        <v>-1.6247010219612816</v>
      </c>
      <c r="J33" s="141">
        <f t="shared" ca="1" si="17"/>
        <v>2262.1400000000003</v>
      </c>
      <c r="K33" s="141">
        <f t="shared" ca="1" si="13"/>
        <v>2333.17</v>
      </c>
      <c r="L33" s="141">
        <f t="shared" ca="1" si="14"/>
        <v>71.029999999999745</v>
      </c>
      <c r="M33" s="512">
        <f t="shared" ca="1" si="15"/>
        <v>3.1399471297090247</v>
      </c>
      <c r="N33" s="237" t="s">
        <v>217</v>
      </c>
      <c r="O33" s="102" t="s">
        <v>402</v>
      </c>
      <c r="P33" s="100" t="s">
        <v>5</v>
      </c>
      <c r="Q33" s="100" t="s">
        <v>195</v>
      </c>
      <c r="R33" s="173" t="s">
        <v>367</v>
      </c>
      <c r="S33" s="100">
        <f>SUMIFS('Normalized Units'!I:I,'Normalized Units'!B:B,"Normalized Billing Units",'Normalized Units'!C:C,N$4,'Normalized Units'!D:D,P33,'Normalized Units'!F:F,Q33,'Normalized Units'!H:H,R33)</f>
        <v>104394</v>
      </c>
      <c r="T33" s="334"/>
      <c r="U33" s="91"/>
    </row>
    <row r="34" spans="1:21" s="159" customFormat="1">
      <c r="A34" s="227" t="s">
        <v>199</v>
      </c>
      <c r="B34" s="227" t="s">
        <v>525</v>
      </c>
      <c r="C34" s="327">
        <v>50</v>
      </c>
      <c r="D34" s="141">
        <v>700</v>
      </c>
      <c r="E34" s="141">
        <f t="shared" si="16"/>
        <v>35000</v>
      </c>
      <c r="F34" s="141">
        <f t="shared" si="9"/>
        <v>3085.5</v>
      </c>
      <c r="G34" s="141">
        <f t="shared" ca="1" si="10"/>
        <v>3051.34</v>
      </c>
      <c r="H34" s="141">
        <f t="shared" ca="1" si="11"/>
        <v>-34.159999999999854</v>
      </c>
      <c r="I34" s="512">
        <f t="shared" ca="1" si="12"/>
        <v>-1.1071139199481399</v>
      </c>
      <c r="J34" s="141">
        <f t="shared" ca="1" si="17"/>
        <v>3051.34</v>
      </c>
      <c r="K34" s="141">
        <f t="shared" ca="1" si="13"/>
        <v>3143.27</v>
      </c>
      <c r="L34" s="141">
        <f t="shared" ca="1" si="14"/>
        <v>91.929999999999836</v>
      </c>
      <c r="M34" s="512">
        <f t="shared" ca="1" si="15"/>
        <v>3.0127747153709463</v>
      </c>
      <c r="N34" s="237" t="s">
        <v>217</v>
      </c>
      <c r="O34" s="102" t="s">
        <v>402</v>
      </c>
      <c r="P34" s="100" t="s">
        <v>5</v>
      </c>
      <c r="Q34" s="100" t="s">
        <v>195</v>
      </c>
      <c r="R34" s="173" t="s">
        <v>358</v>
      </c>
      <c r="S34" s="100">
        <f>SUMIFS('Normalized Units'!I:I,'Normalized Units'!B:B,"Normalized Billing Units",'Normalized Units'!C:C,N$4,'Normalized Units'!D:D,P34,'Normalized Units'!F:F,Q34,'Normalized Units'!H:H,R34)</f>
        <v>3766.6333333333332</v>
      </c>
      <c r="T34" s="334"/>
      <c r="U34" s="91"/>
    </row>
    <row r="35" spans="1:21" s="159" customFormat="1">
      <c r="A35" s="227" t="s">
        <v>199</v>
      </c>
      <c r="B35" s="227" t="s">
        <v>525</v>
      </c>
      <c r="C35" s="327">
        <v>75</v>
      </c>
      <c r="D35" s="141">
        <v>300</v>
      </c>
      <c r="E35" s="141">
        <f t="shared" si="16"/>
        <v>22500</v>
      </c>
      <c r="F35" s="141">
        <f t="shared" si="9"/>
        <v>2224.25</v>
      </c>
      <c r="G35" s="141">
        <f t="shared" ca="1" si="10"/>
        <v>2186.09</v>
      </c>
      <c r="H35" s="141">
        <f t="shared" ca="1" si="11"/>
        <v>-38.159999999999854</v>
      </c>
      <c r="I35" s="512">
        <f t="shared" ca="1" si="12"/>
        <v>-1.7156344835337689</v>
      </c>
      <c r="J35" s="141">
        <f t="shared" ca="1" si="17"/>
        <v>2186.09</v>
      </c>
      <c r="K35" s="141">
        <f t="shared" ca="1" si="13"/>
        <v>2259.895</v>
      </c>
      <c r="L35" s="141">
        <f t="shared" ca="1" si="14"/>
        <v>73.804999999999836</v>
      </c>
      <c r="M35" s="512">
        <f t="shared" ca="1" si="15"/>
        <v>3.3761190069942146</v>
      </c>
      <c r="N35" s="263" t="s">
        <v>217</v>
      </c>
      <c r="O35" s="150" t="s">
        <v>402</v>
      </c>
      <c r="P35" s="152" t="s">
        <v>5</v>
      </c>
      <c r="Q35" s="152" t="s">
        <v>195</v>
      </c>
      <c r="R35" s="266" t="s">
        <v>368</v>
      </c>
      <c r="S35" s="152">
        <f>SUMIFS('Normalized Units'!I:I,'Normalized Units'!B:B,"Normalized Billing Units",'Normalized Units'!C:C,N$4,'Normalized Units'!D:D,P35,'Normalized Units'!F:F,Q35,'Normalized Units'!H:H,R35)</f>
        <v>132.06666666666666</v>
      </c>
      <c r="T35" s="334"/>
      <c r="U35" s="91"/>
    </row>
    <row r="36" spans="1:21" s="159" customFormat="1">
      <c r="A36" s="227" t="s">
        <v>199</v>
      </c>
      <c r="B36" s="227" t="s">
        <v>525</v>
      </c>
      <c r="C36" s="327">
        <v>75</v>
      </c>
      <c r="D36" s="141">
        <v>500</v>
      </c>
      <c r="E36" s="141">
        <f t="shared" si="16"/>
        <v>37500</v>
      </c>
      <c r="F36" s="141">
        <f t="shared" si="9"/>
        <v>3403.25</v>
      </c>
      <c r="G36" s="141">
        <f t="shared" ca="1" si="10"/>
        <v>3369.89</v>
      </c>
      <c r="H36" s="141">
        <f t="shared" ca="1" si="11"/>
        <v>-33.360000000000127</v>
      </c>
      <c r="I36" s="512">
        <f t="shared" ca="1" si="12"/>
        <v>-0.9802394769705467</v>
      </c>
      <c r="J36" s="141">
        <f t="shared" ca="1" si="17"/>
        <v>3369.89</v>
      </c>
      <c r="K36" s="141">
        <f t="shared" ca="1" si="13"/>
        <v>3475.0450000000001</v>
      </c>
      <c r="L36" s="141">
        <f t="shared" ca="1" si="14"/>
        <v>105.1550000000002</v>
      </c>
      <c r="M36" s="512">
        <f t="shared" ca="1" si="15"/>
        <v>3.120428263237085</v>
      </c>
      <c r="N36" s="262" t="s">
        <v>217</v>
      </c>
      <c r="O36" s="145" t="s">
        <v>402</v>
      </c>
      <c r="P36" s="144" t="s">
        <v>7</v>
      </c>
      <c r="Q36" s="144" t="s">
        <v>199</v>
      </c>
      <c r="R36" s="144" t="s">
        <v>335</v>
      </c>
      <c r="S36" s="144">
        <f>SUMIFS('Normalized Units'!I:I,'Normalized Units'!B:B,"Normalized Billing Units",'Normalized Units'!C:C,N$4,'Normalized Units'!D:D,P36,'Normalized Units'!F:F,Q36,'Normalized Units'!H:H,R36)</f>
        <v>2064.5333333333333</v>
      </c>
      <c r="T36" s="334"/>
      <c r="U36" s="91"/>
    </row>
    <row r="37" spans="1:21" s="159" customFormat="1">
      <c r="A37" s="227" t="s">
        <v>199</v>
      </c>
      <c r="B37" s="227" t="s">
        <v>525</v>
      </c>
      <c r="C37" s="327">
        <v>75</v>
      </c>
      <c r="D37" s="141">
        <v>700</v>
      </c>
      <c r="E37" s="141">
        <f t="shared" si="16"/>
        <v>52500</v>
      </c>
      <c r="F37" s="141">
        <f t="shared" si="9"/>
        <v>4582.25</v>
      </c>
      <c r="G37" s="141">
        <f t="shared" ca="1" si="10"/>
        <v>4553.6900000000005</v>
      </c>
      <c r="H37" s="141">
        <f t="shared" ca="1" si="11"/>
        <v>-28.559999999999491</v>
      </c>
      <c r="I37" s="512">
        <f t="shared" ca="1" si="12"/>
        <v>-0.62327459217632153</v>
      </c>
      <c r="J37" s="141">
        <f t="shared" ca="1" si="17"/>
        <v>4553.6900000000005</v>
      </c>
      <c r="K37" s="141">
        <f t="shared" ca="1" si="13"/>
        <v>4690.1950000000006</v>
      </c>
      <c r="L37" s="141">
        <f t="shared" ca="1" si="14"/>
        <v>136.50500000000011</v>
      </c>
      <c r="M37" s="512">
        <f t="shared" ca="1" si="15"/>
        <v>2.9976788055401244</v>
      </c>
      <c r="N37" s="237" t="s">
        <v>217</v>
      </c>
      <c r="O37" s="102" t="s">
        <v>402</v>
      </c>
      <c r="P37" s="100" t="s">
        <v>7</v>
      </c>
      <c r="Q37" s="100" t="s">
        <v>200</v>
      </c>
      <c r="R37" s="100" t="s">
        <v>335</v>
      </c>
      <c r="S37" s="100">
        <f>SUMIFS('Normalized Units'!I:I,'Normalized Units'!B:B,"Normalized Billing Units",'Normalized Units'!C:C,N$4,'Normalized Units'!D:D,P37,'Normalized Units'!F:F,Q37,'Normalized Units'!H:H,R37)</f>
        <v>2816.0666666666666</v>
      </c>
      <c r="T37" s="334"/>
      <c r="U37" s="91"/>
    </row>
    <row r="38" spans="1:21" s="159" customFormat="1">
      <c r="A38" s="227" t="s">
        <v>199</v>
      </c>
      <c r="B38" s="227" t="s">
        <v>525</v>
      </c>
      <c r="C38" s="327">
        <v>100</v>
      </c>
      <c r="D38" s="141">
        <v>300</v>
      </c>
      <c r="E38" s="141">
        <f t="shared" si="16"/>
        <v>30000</v>
      </c>
      <c r="F38" s="141">
        <f t="shared" si="9"/>
        <v>2935</v>
      </c>
      <c r="G38" s="141">
        <f t="shared" ca="1" si="10"/>
        <v>2899.2400000000002</v>
      </c>
      <c r="H38" s="141">
        <f t="shared" ca="1" si="11"/>
        <v>-35.759999999999764</v>
      </c>
      <c r="I38" s="512">
        <f t="shared" ca="1" si="12"/>
        <v>-1.2183986371379816</v>
      </c>
      <c r="J38" s="141">
        <f t="shared" ca="1" si="17"/>
        <v>2899.2400000000002</v>
      </c>
      <c r="K38" s="141">
        <f t="shared" ca="1" si="13"/>
        <v>2996.72</v>
      </c>
      <c r="L38" s="141">
        <f t="shared" ca="1" si="14"/>
        <v>97.479999999999563</v>
      </c>
      <c r="M38" s="512">
        <f t="shared" ca="1" si="15"/>
        <v>3.3622604544639132</v>
      </c>
      <c r="N38" s="237" t="s">
        <v>217</v>
      </c>
      <c r="O38" s="102" t="s">
        <v>402</v>
      </c>
      <c r="P38" s="100" t="s">
        <v>7</v>
      </c>
      <c r="Q38" s="100" t="s">
        <v>200</v>
      </c>
      <c r="R38" s="100" t="s">
        <v>336</v>
      </c>
      <c r="S38" s="100">
        <f>SUMIFS('Normalized Units'!I:I,'Normalized Units'!B:B,"Normalized Billing Units",'Normalized Units'!C:C,N$4,'Normalized Units'!D:D,P38,'Normalized Units'!F:F,Q38,'Normalized Units'!H:H,R38)</f>
        <v>1</v>
      </c>
      <c r="T38" s="334"/>
      <c r="U38" s="91"/>
    </row>
    <row r="39" spans="1:21" s="159" customFormat="1">
      <c r="A39" s="227" t="s">
        <v>199</v>
      </c>
      <c r="B39" s="227" t="s">
        <v>525</v>
      </c>
      <c r="C39" s="327">
        <v>100</v>
      </c>
      <c r="D39" s="141">
        <v>500</v>
      </c>
      <c r="E39" s="141">
        <f t="shared" si="16"/>
        <v>50000</v>
      </c>
      <c r="F39" s="141">
        <f t="shared" si="9"/>
        <v>4507</v>
      </c>
      <c r="G39" s="141">
        <f t="shared" ca="1" si="10"/>
        <v>4477.6400000000003</v>
      </c>
      <c r="H39" s="141">
        <f t="shared" ca="1" si="11"/>
        <v>-29.359999999999673</v>
      </c>
      <c r="I39" s="512">
        <f t="shared" ca="1" si="12"/>
        <v>-0.65143110716662245</v>
      </c>
      <c r="J39" s="141">
        <f t="shared" ca="1" si="17"/>
        <v>4477.6400000000003</v>
      </c>
      <c r="K39" s="141">
        <f t="shared" ca="1" si="13"/>
        <v>4616.92</v>
      </c>
      <c r="L39" s="141">
        <f t="shared" ca="1" si="14"/>
        <v>139.27999999999975</v>
      </c>
      <c r="M39" s="512">
        <f t="shared" ca="1" si="15"/>
        <v>3.1105671737790388</v>
      </c>
      <c r="N39" s="237" t="s">
        <v>217</v>
      </c>
      <c r="O39" s="102" t="s">
        <v>402</v>
      </c>
      <c r="P39" s="100" t="s">
        <v>7</v>
      </c>
      <c r="Q39" s="100" t="s">
        <v>195</v>
      </c>
      <c r="R39" s="100" t="s">
        <v>281</v>
      </c>
      <c r="S39" s="100">
        <f>SUMIFS('Normalized Units'!I:I,'Normalized Units'!B:B,"Normalized Billing Units",'Normalized Units'!C:C,N$4,'Normalized Units'!D:D,P39,'Normalized Units'!F:F,Q39,'Normalized Units'!H:H,R39)</f>
        <v>50566.221153846156</v>
      </c>
      <c r="T39" s="334"/>
      <c r="U39" s="91"/>
    </row>
    <row r="40" spans="1:21" s="159" customFormat="1">
      <c r="A40" s="227" t="s">
        <v>199</v>
      </c>
      <c r="B40" s="227" t="s">
        <v>525</v>
      </c>
      <c r="C40" s="327">
        <v>100</v>
      </c>
      <c r="D40" s="141">
        <v>700</v>
      </c>
      <c r="E40" s="141">
        <f t="shared" si="16"/>
        <v>70000</v>
      </c>
      <c r="F40" s="141">
        <f t="shared" si="9"/>
        <v>6079</v>
      </c>
      <c r="G40" s="141">
        <f t="shared" ca="1" si="10"/>
        <v>6056.0400000000009</v>
      </c>
      <c r="H40" s="141">
        <f t="shared" ca="1" si="11"/>
        <v>-22.959999999999127</v>
      </c>
      <c r="I40" s="512">
        <f t="shared" ca="1" si="12"/>
        <v>-0.3776936996216339</v>
      </c>
      <c r="J40" s="141">
        <f t="shared" ca="1" si="17"/>
        <v>6056.0400000000009</v>
      </c>
      <c r="K40" s="141">
        <f t="shared" ca="1" si="13"/>
        <v>6237.12</v>
      </c>
      <c r="L40" s="141">
        <f t="shared" ca="1" si="14"/>
        <v>181.07999999999902</v>
      </c>
      <c r="M40" s="512">
        <f t="shared" ca="1" si="15"/>
        <v>2.9900727207878246</v>
      </c>
      <c r="N40" s="237" t="s">
        <v>217</v>
      </c>
      <c r="O40" s="102" t="s">
        <v>402</v>
      </c>
      <c r="P40" s="100" t="s">
        <v>7</v>
      </c>
      <c r="Q40" s="100" t="s">
        <v>195</v>
      </c>
      <c r="R40" s="100" t="s">
        <v>283</v>
      </c>
      <c r="S40" s="100">
        <f>SUMIFS('Normalized Units'!I:I,'Normalized Units'!B:B,"Normalized Billing Units",'Normalized Units'!C:C,N$4,'Normalized Units'!D:D,P40,'Normalized Units'!F:F,Q40,'Normalized Units'!H:H,R40)</f>
        <v>55.99970802599227</v>
      </c>
      <c r="T40" s="334"/>
      <c r="U40" s="91"/>
    </row>
    <row r="41" spans="1:21" s="159" customFormat="1">
      <c r="A41" s="402" t="s">
        <v>517</v>
      </c>
      <c r="B41" s="353"/>
      <c r="C41" s="353"/>
      <c r="D41" s="353"/>
      <c r="E41" s="353"/>
      <c r="F41" s="353"/>
      <c r="G41" s="353"/>
      <c r="H41" s="353"/>
      <c r="I41" s="523"/>
      <c r="J41" s="353"/>
      <c r="K41" s="353"/>
      <c r="L41" s="353"/>
      <c r="M41" s="526"/>
      <c r="N41" s="237" t="s">
        <v>217</v>
      </c>
      <c r="O41" s="102" t="s">
        <v>402</v>
      </c>
      <c r="P41" s="100" t="s">
        <v>7</v>
      </c>
      <c r="Q41" s="100" t="s">
        <v>195</v>
      </c>
      <c r="R41" s="100" t="s">
        <v>202</v>
      </c>
      <c r="S41" s="100">
        <f>SUMIFS('Normalized Units'!I:I,'Normalized Units'!B:B,"Normalized Billing Units",'Normalized Units'!C:C,N$4,'Normalized Units'!D:D,P41,'Normalized Units'!F:F,Q41,'Normalized Units'!H:H,R41)</f>
        <v>32855.535433070865</v>
      </c>
      <c r="T41" s="334"/>
      <c r="U41" s="91"/>
    </row>
    <row r="42" spans="1:21" s="159" customFormat="1">
      <c r="A42" s="393" t="s">
        <v>518</v>
      </c>
      <c r="B42" s="143"/>
      <c r="C42" s="143"/>
      <c r="D42" s="143"/>
      <c r="E42" s="143"/>
      <c r="F42" s="143"/>
      <c r="G42" s="143"/>
      <c r="H42" s="143"/>
      <c r="I42" s="524"/>
      <c r="J42" s="143"/>
      <c r="K42" s="143"/>
      <c r="L42" s="143"/>
      <c r="M42" s="527"/>
      <c r="N42" s="237" t="s">
        <v>217</v>
      </c>
      <c r="O42" s="102" t="s">
        <v>402</v>
      </c>
      <c r="P42" s="100" t="s">
        <v>7</v>
      </c>
      <c r="Q42" s="100" t="s">
        <v>195</v>
      </c>
      <c r="R42" s="100" t="s">
        <v>396</v>
      </c>
      <c r="S42" s="100">
        <f>'Normalized Units'!U203+'Normalized Units'!J203+'Normalized Units'!K203+'Normalized Units'!L203</f>
        <v>983666.49258984241</v>
      </c>
      <c r="T42" s="334"/>
      <c r="U42" s="91"/>
    </row>
    <row r="43" spans="1:21" s="159" customFormat="1">
      <c r="A43" s="338" t="s">
        <v>523</v>
      </c>
      <c r="B43" s="354"/>
      <c r="C43" s="354"/>
      <c r="D43" s="354"/>
      <c r="E43" s="354"/>
      <c r="F43" s="354"/>
      <c r="G43" s="354"/>
      <c r="H43" s="354"/>
      <c r="I43" s="525"/>
      <c r="J43" s="354"/>
      <c r="K43" s="354"/>
      <c r="L43" s="354"/>
      <c r="M43" s="528"/>
      <c r="N43" s="237" t="s">
        <v>217</v>
      </c>
      <c r="O43" s="102" t="s">
        <v>402</v>
      </c>
      <c r="P43" s="100" t="s">
        <v>7</v>
      </c>
      <c r="Q43" s="100" t="s">
        <v>195</v>
      </c>
      <c r="R43" s="100" t="s">
        <v>394</v>
      </c>
      <c r="S43" s="100">
        <f>'Normalized Units'!M203+'Normalized Units'!N203+'Normalized Units'!O203+'Normalized Units'!P203+'Normalized Units'!Q203+'Normalized Units'!R203+'Normalized Units'!S203+'Normalized Units'!T203</f>
        <v>1953226.3913132786</v>
      </c>
      <c r="T43" s="334"/>
    </row>
    <row r="44" spans="1:21" s="159" customFormat="1">
      <c r="A44" s="227" t="s">
        <v>199</v>
      </c>
      <c r="B44" s="227" t="s">
        <v>526</v>
      </c>
      <c r="C44" s="327">
        <v>15</v>
      </c>
      <c r="D44" s="141">
        <v>300</v>
      </c>
      <c r="E44" s="141">
        <f>C44*D44</f>
        <v>4500</v>
      </c>
      <c r="F44" s="141">
        <f t="shared" ref="F44:F58" si="18">SUMIFS(S$52:S$55,Q$52:Q$55,A44,R$52:R$55,"Bill")+(S$56+S$58)*C44+S$59*1000+IF(E44&lt;=9000,S$60*(E44-1000),S$60*8000+S$61*(E44-9000))</f>
        <v>495.005</v>
      </c>
      <c r="G44" s="141">
        <f t="shared" ref="G44:G58" ca="1" si="19">SUMIFS(S$115:S$118,Q$115:Q$118,A44,R$115:R$118,"Bill")+(S$119+S$121)*C44+IF(B44="Summer",S$122,IF(B44="Winter",S$123,AF$123))*1000+IF(B44="Summer",S$124,IF(B44="Winter",S$125,AF$125))*(E44-1000)</f>
        <v>489.73650537698717</v>
      </c>
      <c r="H44" s="141">
        <f t="shared" ref="H44:H58" ca="1" si="20">G44-F44</f>
        <v>-5.2684946230128276</v>
      </c>
      <c r="I44" s="512">
        <f t="shared" ref="I44:I58" ca="1" si="21">H44/F44*100</f>
        <v>-1.0643315972591847</v>
      </c>
      <c r="J44" s="141">
        <f ca="1">G44</f>
        <v>489.73650537698717</v>
      </c>
      <c r="K44" s="141">
        <f t="shared" ref="K44:K58" ca="1" si="22">SUMIFS(S$192:S$195,Q$192:Q$195,A44,R$192:R$195,"Bill")+(S$196+S$198)*C44+IF(B44="Summer",S$199,IF(B44="Winter",S$200,AF$200))*1000+IF(B44="Summer",S$201,IF(B44="Winter",S$202,AF$202))*(E44-1000)</f>
        <v>521.92602504345382</v>
      </c>
      <c r="L44" s="141">
        <f t="shared" ref="L44:L58" ca="1" si="23">K44-J44</f>
        <v>32.189519666466651</v>
      </c>
      <c r="M44" s="512">
        <f t="shared" ref="M44:M58" ca="1" si="24">L44/J44*100</f>
        <v>6.5728242254858955</v>
      </c>
      <c r="N44" s="237" t="s">
        <v>217</v>
      </c>
      <c r="O44" s="102" t="s">
        <v>402</v>
      </c>
      <c r="P44" s="100" t="s">
        <v>7</v>
      </c>
      <c r="Q44" s="100" t="s">
        <v>195</v>
      </c>
      <c r="R44" s="100" t="s">
        <v>397</v>
      </c>
      <c r="S44" s="100">
        <f>'Normalized Units'!U204+'Normalized Units'!J204+'Normalized Units'!K204+'Normalized Units'!L204</f>
        <v>2810275.077659104</v>
      </c>
      <c r="T44" s="334"/>
    </row>
    <row r="45" spans="1:21" s="159" customFormat="1">
      <c r="A45" s="227" t="s">
        <v>199</v>
      </c>
      <c r="B45" s="227" t="s">
        <v>526</v>
      </c>
      <c r="C45" s="327">
        <v>15</v>
      </c>
      <c r="D45" s="141">
        <v>500</v>
      </c>
      <c r="E45" s="141">
        <f t="shared" ref="E45:E58" si="25">C45*D45</f>
        <v>7500</v>
      </c>
      <c r="F45" s="141">
        <f t="shared" si="18"/>
        <v>746.43499999999995</v>
      </c>
      <c r="G45" s="141">
        <f t="shared" ca="1" si="19"/>
        <v>736.63205960313576</v>
      </c>
      <c r="H45" s="141">
        <f t="shared" ca="1" si="20"/>
        <v>-9.8029403968641873</v>
      </c>
      <c r="I45" s="512">
        <f t="shared" ca="1" si="21"/>
        <v>-1.3133012783248625</v>
      </c>
      <c r="J45" s="141">
        <f t="shared" ref="J45:J58" ca="1" si="26">G45</f>
        <v>736.63205960313576</v>
      </c>
      <c r="K45" s="141">
        <f t="shared" ca="1" si="22"/>
        <v>785.23160134161208</v>
      </c>
      <c r="L45" s="141">
        <f t="shared" ca="1" si="23"/>
        <v>48.599541738476319</v>
      </c>
      <c r="M45" s="512">
        <f t="shared" ca="1" si="24"/>
        <v>6.5975327987570305</v>
      </c>
      <c r="N45" s="237" t="s">
        <v>217</v>
      </c>
      <c r="O45" s="102" t="s">
        <v>402</v>
      </c>
      <c r="P45" s="100" t="s">
        <v>7</v>
      </c>
      <c r="Q45" s="100" t="s">
        <v>195</v>
      </c>
      <c r="R45" s="100" t="s">
        <v>395</v>
      </c>
      <c r="S45" s="100">
        <f>'Normalized Units'!M204+'Normalized Units'!N204+'Normalized Units'!O204+'Normalized Units'!P204+'Normalized Units'!Q204+'Normalized Units'!R204+'Normalized Units'!S204+'Normalized Units'!T204</f>
        <v>5887310.2681931946</v>
      </c>
      <c r="T45" s="334"/>
    </row>
    <row r="46" spans="1:21" s="159" customFormat="1">
      <c r="A46" s="227" t="s">
        <v>199</v>
      </c>
      <c r="B46" s="227" t="s">
        <v>526</v>
      </c>
      <c r="C46" s="327">
        <v>15</v>
      </c>
      <c r="D46" s="141">
        <v>700</v>
      </c>
      <c r="E46" s="141">
        <f t="shared" si="25"/>
        <v>10500</v>
      </c>
      <c r="F46" s="141">
        <f t="shared" si="18"/>
        <v>990.05</v>
      </c>
      <c r="G46" s="141">
        <f t="shared" ca="1" si="19"/>
        <v>983.52761382928429</v>
      </c>
      <c r="H46" s="141">
        <f t="shared" ca="1" si="20"/>
        <v>-6.522386170715663</v>
      </c>
      <c r="I46" s="512">
        <f t="shared" ca="1" si="21"/>
        <v>-0.65879361352615151</v>
      </c>
      <c r="J46" s="141">
        <f t="shared" ca="1" si="26"/>
        <v>983.52761382928429</v>
      </c>
      <c r="K46" s="141">
        <f t="shared" ca="1" si="22"/>
        <v>1048.5371776397701</v>
      </c>
      <c r="L46" s="141">
        <f t="shared" ca="1" si="23"/>
        <v>65.009563810485815</v>
      </c>
      <c r="M46" s="512">
        <f t="shared" ca="1" si="24"/>
        <v>6.6098361547141922</v>
      </c>
      <c r="N46" s="237" t="s">
        <v>217</v>
      </c>
      <c r="O46" s="102" t="s">
        <v>402</v>
      </c>
      <c r="P46" s="100" t="s">
        <v>7</v>
      </c>
      <c r="Q46" s="100" t="s">
        <v>195</v>
      </c>
      <c r="R46" s="100" t="s">
        <v>398</v>
      </c>
      <c r="S46" s="100">
        <f>'Normalized Units'!U205+'Normalized Units'!J205+'Normalized Units'!K205+'Normalized Units'!L205</f>
        <v>1148783.2598928562</v>
      </c>
      <c r="T46" s="334"/>
    </row>
    <row r="47" spans="1:21" s="159" customFormat="1">
      <c r="A47" s="227" t="s">
        <v>199</v>
      </c>
      <c r="B47" s="227" t="s">
        <v>526</v>
      </c>
      <c r="C47" s="327">
        <v>25</v>
      </c>
      <c r="D47" s="141">
        <v>300</v>
      </c>
      <c r="E47" s="141">
        <f t="shared" si="25"/>
        <v>7500</v>
      </c>
      <c r="F47" s="141">
        <f t="shared" si="18"/>
        <v>794.93499999999995</v>
      </c>
      <c r="G47" s="141">
        <f t="shared" ca="1" si="19"/>
        <v>785.13205960313576</v>
      </c>
      <c r="H47" s="141">
        <f t="shared" ca="1" si="20"/>
        <v>-9.8029403968641873</v>
      </c>
      <c r="I47" s="512">
        <f t="shared" ca="1" si="21"/>
        <v>-1.2331750893927413</v>
      </c>
      <c r="J47" s="141">
        <f t="shared" ca="1" si="26"/>
        <v>785.13205960313576</v>
      </c>
      <c r="K47" s="141">
        <f t="shared" ca="1" si="22"/>
        <v>836.93160134161201</v>
      </c>
      <c r="L47" s="141">
        <f t="shared" ca="1" si="23"/>
        <v>51.79954173847625</v>
      </c>
      <c r="M47" s="512">
        <f t="shared" ca="1" si="24"/>
        <v>6.597557838188342</v>
      </c>
      <c r="N47" s="237" t="s">
        <v>217</v>
      </c>
      <c r="O47" s="102" t="s">
        <v>402</v>
      </c>
      <c r="P47" s="100" t="s">
        <v>7</v>
      </c>
      <c r="Q47" s="100" t="s">
        <v>195</v>
      </c>
      <c r="R47" s="100" t="s">
        <v>399</v>
      </c>
      <c r="S47" s="100">
        <f>'Normalized Units'!M205+'Normalized Units'!N205+'Normalized Units'!O205+'Normalized Units'!P205+'Normalized Units'!Q205+'Normalized Units'!R205+'Normalized Units'!S205+'Normalized Units'!T205</f>
        <v>2319003.7909127274</v>
      </c>
      <c r="T47" s="334"/>
      <c r="U47" s="91"/>
    </row>
    <row r="48" spans="1:21" s="159" customFormat="1">
      <c r="A48" s="227" t="s">
        <v>199</v>
      </c>
      <c r="B48" s="227" t="s">
        <v>526</v>
      </c>
      <c r="C48" s="327">
        <v>25</v>
      </c>
      <c r="D48" s="141">
        <v>500</v>
      </c>
      <c r="E48" s="141">
        <f t="shared" si="25"/>
        <v>12500</v>
      </c>
      <c r="F48" s="141">
        <f t="shared" si="18"/>
        <v>1195.75</v>
      </c>
      <c r="G48" s="141">
        <f t="shared" ca="1" si="19"/>
        <v>1196.62464998005</v>
      </c>
      <c r="H48" s="141">
        <f t="shared" ca="1" si="20"/>
        <v>0.87464998004998051</v>
      </c>
      <c r="I48" s="512">
        <f t="shared" ca="1" si="21"/>
        <v>7.3146559067529204E-2</v>
      </c>
      <c r="J48" s="141">
        <f t="shared" ca="1" si="26"/>
        <v>1196.62464998005</v>
      </c>
      <c r="K48" s="141">
        <f t="shared" ca="1" si="22"/>
        <v>1275.7742285052091</v>
      </c>
      <c r="L48" s="141">
        <f t="shared" ca="1" si="23"/>
        <v>79.149578525159086</v>
      </c>
      <c r="M48" s="512">
        <f t="shared" ca="1" si="24"/>
        <v>6.6144031485962334</v>
      </c>
      <c r="N48" s="237" t="s">
        <v>217</v>
      </c>
      <c r="O48" s="102" t="s">
        <v>402</v>
      </c>
      <c r="P48" s="100" t="s">
        <v>7</v>
      </c>
      <c r="Q48" s="100" t="s">
        <v>195</v>
      </c>
      <c r="R48" s="100" t="s">
        <v>201</v>
      </c>
      <c r="S48" s="100">
        <f>SUMIFS('Normalized Units'!I:I,'Normalized Units'!B:B,"Normalized Billing Units",'Normalized Units'!C:C,N$4,'Normalized Units'!D:D,P48,'Normalized Units'!F:F,Q48,'Normalized Units'!H:H,R48)</f>
        <v>14449.086206896553</v>
      </c>
      <c r="T48" s="334"/>
      <c r="U48" s="91"/>
    </row>
    <row r="49" spans="1:22" s="159" customFormat="1">
      <c r="A49" s="227" t="s">
        <v>199</v>
      </c>
      <c r="B49" s="227" t="s">
        <v>526</v>
      </c>
      <c r="C49" s="327">
        <v>25</v>
      </c>
      <c r="D49" s="141">
        <v>700</v>
      </c>
      <c r="E49" s="141">
        <f t="shared" si="25"/>
        <v>17500</v>
      </c>
      <c r="F49" s="141">
        <f t="shared" si="18"/>
        <v>1588.75</v>
      </c>
      <c r="G49" s="141">
        <f t="shared" ca="1" si="19"/>
        <v>1608.1172403569642</v>
      </c>
      <c r="H49" s="141">
        <f t="shared" ca="1" si="20"/>
        <v>19.367240356964203</v>
      </c>
      <c r="I49" s="512">
        <f t="shared" ca="1" si="21"/>
        <v>1.2190237832864959</v>
      </c>
      <c r="J49" s="141">
        <f t="shared" ca="1" si="26"/>
        <v>1608.1172403569642</v>
      </c>
      <c r="K49" s="141">
        <f t="shared" ca="1" si="22"/>
        <v>1714.6168556688058</v>
      </c>
      <c r="L49" s="141">
        <f t="shared" ca="1" si="23"/>
        <v>106.49961531184158</v>
      </c>
      <c r="M49" s="512">
        <f t="shared" ca="1" si="24"/>
        <v>6.6226275447554537</v>
      </c>
      <c r="N49" s="237" t="s">
        <v>217</v>
      </c>
      <c r="O49" s="102" t="s">
        <v>402</v>
      </c>
      <c r="P49" s="100" t="s">
        <v>7</v>
      </c>
      <c r="Q49" s="100" t="s">
        <v>195</v>
      </c>
      <c r="R49" s="173" t="s">
        <v>367</v>
      </c>
      <c r="S49" s="100">
        <f>SUMIFS('Normalized Units'!I:I,'Normalized Units'!B:B,"Normalized Billing Units",'Normalized Units'!C:C,N$4,'Normalized Units'!D:D,P49,'Normalized Units'!F:F,Q49,'Normalized Units'!H:H,R49)</f>
        <v>11942</v>
      </c>
      <c r="T49" s="334"/>
      <c r="U49" s="91"/>
    </row>
    <row r="50" spans="1:22" s="159" customFormat="1">
      <c r="A50" s="227" t="s">
        <v>199</v>
      </c>
      <c r="B50" s="227" t="s">
        <v>526</v>
      </c>
      <c r="C50" s="327">
        <v>50</v>
      </c>
      <c r="D50" s="141">
        <v>300</v>
      </c>
      <c r="E50" s="141">
        <f t="shared" si="25"/>
        <v>15000</v>
      </c>
      <c r="F50" s="141">
        <f t="shared" si="18"/>
        <v>1513.5</v>
      </c>
      <c r="G50" s="141">
        <f t="shared" ca="1" si="19"/>
        <v>1523.6209451685072</v>
      </c>
      <c r="H50" s="141">
        <f t="shared" ca="1" si="20"/>
        <v>10.120945168507205</v>
      </c>
      <c r="I50" s="512">
        <f t="shared" ca="1" si="21"/>
        <v>0.66871127641276551</v>
      </c>
      <c r="J50" s="141">
        <f t="shared" ca="1" si="26"/>
        <v>1523.6209451685072</v>
      </c>
      <c r="K50" s="141">
        <f t="shared" ca="1" si="22"/>
        <v>1624.4455420870074</v>
      </c>
      <c r="L50" s="141">
        <f t="shared" ca="1" si="23"/>
        <v>100.82459691850022</v>
      </c>
      <c r="M50" s="512">
        <f t="shared" ca="1" si="24"/>
        <v>6.6174331114455347</v>
      </c>
      <c r="N50" s="237" t="s">
        <v>217</v>
      </c>
      <c r="O50" s="102" t="s">
        <v>402</v>
      </c>
      <c r="P50" s="100" t="s">
        <v>7</v>
      </c>
      <c r="Q50" s="100" t="s">
        <v>195</v>
      </c>
      <c r="R50" s="173" t="s">
        <v>358</v>
      </c>
      <c r="S50" s="100">
        <f>SUMIFS('Normalized Units'!I:I,'Normalized Units'!B:B,"Normalized Billing Units",'Normalized Units'!C:C,N$4,'Normalized Units'!D:D,P50,'Normalized Units'!F:F,Q50,'Normalized Units'!H:H,R50)</f>
        <v>489.2</v>
      </c>
      <c r="T50" s="334"/>
      <c r="U50" s="91"/>
    </row>
    <row r="51" spans="1:22" s="159" customFormat="1">
      <c r="A51" s="227" t="s">
        <v>199</v>
      </c>
      <c r="B51" s="227" t="s">
        <v>526</v>
      </c>
      <c r="C51" s="327">
        <v>50</v>
      </c>
      <c r="D51" s="141">
        <v>500</v>
      </c>
      <c r="E51" s="141">
        <f t="shared" si="25"/>
        <v>25000</v>
      </c>
      <c r="F51" s="141">
        <f t="shared" si="18"/>
        <v>2299.5</v>
      </c>
      <c r="G51" s="141">
        <f t="shared" ca="1" si="19"/>
        <v>2346.6061259223357</v>
      </c>
      <c r="H51" s="141">
        <f t="shared" ca="1" si="20"/>
        <v>47.10612592233565</v>
      </c>
      <c r="I51" s="512">
        <f t="shared" ca="1" si="21"/>
        <v>2.0485377657027897</v>
      </c>
      <c r="J51" s="141">
        <f t="shared" ca="1" si="26"/>
        <v>2346.6061259223357</v>
      </c>
      <c r="K51" s="141">
        <f t="shared" ca="1" si="22"/>
        <v>2502.1307964142011</v>
      </c>
      <c r="L51" s="141">
        <f t="shared" ca="1" si="23"/>
        <v>155.52467049186544</v>
      </c>
      <c r="M51" s="512">
        <f t="shared" ca="1" si="24"/>
        <v>6.6276427379024394</v>
      </c>
      <c r="N51" s="263" t="s">
        <v>217</v>
      </c>
      <c r="O51" s="150" t="s">
        <v>402</v>
      </c>
      <c r="P51" s="152" t="s">
        <v>7</v>
      </c>
      <c r="Q51" s="152" t="s">
        <v>195</v>
      </c>
      <c r="R51" s="266" t="s">
        <v>368</v>
      </c>
      <c r="S51" s="152">
        <f>SUMIFS('Normalized Units'!I:I,'Normalized Units'!B:B,"Normalized Billing Units",'Normalized Units'!C:C,N$4,'Normalized Units'!D:D,P51,'Normalized Units'!F:F,Q51,'Normalized Units'!H:H,R51)</f>
        <v>25.933333333333334</v>
      </c>
      <c r="T51" s="334"/>
      <c r="U51" s="91"/>
    </row>
    <row r="52" spans="1:22" s="159" customFormat="1">
      <c r="A52" s="227" t="s">
        <v>199</v>
      </c>
      <c r="B52" s="227" t="s">
        <v>526</v>
      </c>
      <c r="C52" s="327">
        <v>50</v>
      </c>
      <c r="D52" s="141">
        <v>700</v>
      </c>
      <c r="E52" s="141">
        <f t="shared" si="25"/>
        <v>35000</v>
      </c>
      <c r="F52" s="141">
        <f t="shared" si="18"/>
        <v>3085.5</v>
      </c>
      <c r="G52" s="141">
        <f t="shared" ca="1" si="19"/>
        <v>3169.5913066761641</v>
      </c>
      <c r="H52" s="141">
        <f t="shared" ca="1" si="20"/>
        <v>84.091306676164095</v>
      </c>
      <c r="I52" s="512">
        <f t="shared" ca="1" si="21"/>
        <v>2.7253704967157377</v>
      </c>
      <c r="J52" s="141">
        <f t="shared" ca="1" si="26"/>
        <v>3169.5913066761641</v>
      </c>
      <c r="K52" s="141">
        <f t="shared" ca="1" si="22"/>
        <v>3379.816050741395</v>
      </c>
      <c r="L52" s="141">
        <f t="shared" ca="1" si="23"/>
        <v>210.22474406523088</v>
      </c>
      <c r="M52" s="512">
        <f t="shared" ca="1" si="24"/>
        <v>6.6325505001995344</v>
      </c>
      <c r="N52" s="145" t="s">
        <v>406</v>
      </c>
      <c r="O52" s="145" t="s">
        <v>403</v>
      </c>
      <c r="P52" s="144" t="s">
        <v>195</v>
      </c>
      <c r="Q52" s="144" t="s">
        <v>199</v>
      </c>
      <c r="R52" s="145" t="s">
        <v>335</v>
      </c>
      <c r="S52" s="323">
        <v>9.86</v>
      </c>
      <c r="T52" s="335"/>
      <c r="U52" s="326"/>
    </row>
    <row r="53" spans="1:22" s="159" customFormat="1">
      <c r="A53" s="227" t="s">
        <v>199</v>
      </c>
      <c r="B53" s="227" t="s">
        <v>526</v>
      </c>
      <c r="C53" s="327">
        <v>75</v>
      </c>
      <c r="D53" s="141">
        <v>300</v>
      </c>
      <c r="E53" s="141">
        <f t="shared" si="25"/>
        <v>22500</v>
      </c>
      <c r="F53" s="141">
        <f t="shared" si="18"/>
        <v>2224.25</v>
      </c>
      <c r="G53" s="141">
        <f t="shared" ca="1" si="19"/>
        <v>2262.1098307338784</v>
      </c>
      <c r="H53" s="141">
        <f t="shared" ca="1" si="20"/>
        <v>37.859830733878425</v>
      </c>
      <c r="I53" s="512">
        <f t="shared" ca="1" si="21"/>
        <v>1.7021391810218465</v>
      </c>
      <c r="J53" s="141">
        <f t="shared" ca="1" si="26"/>
        <v>2262.1098307338784</v>
      </c>
      <c r="K53" s="141">
        <f t="shared" ca="1" si="22"/>
        <v>2411.9594828324025</v>
      </c>
      <c r="L53" s="141">
        <f t="shared" ca="1" si="23"/>
        <v>149.84965209852407</v>
      </c>
      <c r="M53" s="512">
        <f t="shared" ca="1" si="24"/>
        <v>6.6243314123218111</v>
      </c>
      <c r="N53" s="102" t="s">
        <v>406</v>
      </c>
      <c r="O53" s="102" t="s">
        <v>403</v>
      </c>
      <c r="P53" s="100" t="s">
        <v>195</v>
      </c>
      <c r="Q53" s="100" t="s">
        <v>199</v>
      </c>
      <c r="R53" s="102" t="s">
        <v>336</v>
      </c>
      <c r="S53" s="324">
        <v>118.32</v>
      </c>
      <c r="T53" s="335"/>
      <c r="U53" s="326"/>
      <c r="V53" s="322"/>
    </row>
    <row r="54" spans="1:22" s="159" customFormat="1">
      <c r="A54" s="227" t="s">
        <v>199</v>
      </c>
      <c r="B54" s="227" t="s">
        <v>526</v>
      </c>
      <c r="C54" s="327">
        <v>75</v>
      </c>
      <c r="D54" s="141">
        <v>500</v>
      </c>
      <c r="E54" s="141">
        <f t="shared" si="25"/>
        <v>37500</v>
      </c>
      <c r="F54" s="141">
        <f t="shared" si="18"/>
        <v>3403.25</v>
      </c>
      <c r="G54" s="141">
        <f t="shared" ca="1" si="19"/>
        <v>3496.5876018646213</v>
      </c>
      <c r="H54" s="141">
        <f t="shared" ca="1" si="20"/>
        <v>93.33760186462132</v>
      </c>
      <c r="I54" s="512">
        <f t="shared" ca="1" si="21"/>
        <v>2.7426019794202987</v>
      </c>
      <c r="J54" s="141">
        <f t="shared" ca="1" si="26"/>
        <v>3496.5876018646213</v>
      </c>
      <c r="K54" s="141">
        <f t="shared" ca="1" si="22"/>
        <v>3728.4873643231936</v>
      </c>
      <c r="L54" s="141">
        <f t="shared" ca="1" si="23"/>
        <v>231.89976245857224</v>
      </c>
      <c r="M54" s="512">
        <f t="shared" ca="1" si="24"/>
        <v>6.632173675125637</v>
      </c>
      <c r="N54" s="102" t="s">
        <v>406</v>
      </c>
      <c r="O54" s="102" t="s">
        <v>403</v>
      </c>
      <c r="P54" s="100" t="s">
        <v>195</v>
      </c>
      <c r="Q54" s="100" t="s">
        <v>200</v>
      </c>
      <c r="R54" s="102" t="s">
        <v>335</v>
      </c>
      <c r="S54" s="324">
        <v>14.7</v>
      </c>
      <c r="T54" s="335"/>
      <c r="U54" s="326"/>
      <c r="V54" s="322"/>
    </row>
    <row r="55" spans="1:22" s="159" customFormat="1">
      <c r="A55" s="227" t="s">
        <v>199</v>
      </c>
      <c r="B55" s="227" t="s">
        <v>526</v>
      </c>
      <c r="C55" s="327">
        <v>75</v>
      </c>
      <c r="D55" s="141">
        <v>700</v>
      </c>
      <c r="E55" s="141">
        <f t="shared" si="25"/>
        <v>52500</v>
      </c>
      <c r="F55" s="141">
        <f t="shared" si="18"/>
        <v>4582.25</v>
      </c>
      <c r="G55" s="141">
        <f t="shared" ca="1" si="19"/>
        <v>4731.0653729953638</v>
      </c>
      <c r="H55" s="141">
        <f t="shared" ca="1" si="20"/>
        <v>148.81537299536376</v>
      </c>
      <c r="I55" s="512">
        <f t="shared" ca="1" si="21"/>
        <v>3.2476484913604402</v>
      </c>
      <c r="J55" s="141">
        <f t="shared" ca="1" si="26"/>
        <v>4731.0653729953638</v>
      </c>
      <c r="K55" s="141">
        <f t="shared" ca="1" si="22"/>
        <v>5045.0152458139837</v>
      </c>
      <c r="L55" s="141">
        <f t="shared" ca="1" si="23"/>
        <v>313.94987281861995</v>
      </c>
      <c r="M55" s="512">
        <f t="shared" ca="1" si="24"/>
        <v>6.6359233717341333</v>
      </c>
      <c r="N55" s="102" t="s">
        <v>406</v>
      </c>
      <c r="O55" s="102" t="s">
        <v>403</v>
      </c>
      <c r="P55" s="100" t="s">
        <v>195</v>
      </c>
      <c r="Q55" s="100" t="s">
        <v>200</v>
      </c>
      <c r="R55" s="102" t="s">
        <v>336</v>
      </c>
      <c r="S55" s="324">
        <v>176.4</v>
      </c>
      <c r="T55" s="335"/>
      <c r="U55" s="326"/>
      <c r="V55" s="322"/>
    </row>
    <row r="56" spans="1:22" s="159" customFormat="1">
      <c r="A56" s="227" t="s">
        <v>199</v>
      </c>
      <c r="B56" s="227" t="s">
        <v>526</v>
      </c>
      <c r="C56" s="327">
        <v>100</v>
      </c>
      <c r="D56" s="141">
        <v>300</v>
      </c>
      <c r="E56" s="141">
        <f t="shared" si="25"/>
        <v>30000</v>
      </c>
      <c r="F56" s="141">
        <f t="shared" si="18"/>
        <v>2935</v>
      </c>
      <c r="G56" s="141">
        <f t="shared" ca="1" si="19"/>
        <v>3000.5987162992496</v>
      </c>
      <c r="H56" s="141">
        <f t="shared" ca="1" si="20"/>
        <v>65.598716299249645</v>
      </c>
      <c r="I56" s="512">
        <f t="shared" ca="1" si="21"/>
        <v>2.235049959088574</v>
      </c>
      <c r="J56" s="141">
        <f t="shared" ca="1" si="26"/>
        <v>3000.5987162992496</v>
      </c>
      <c r="K56" s="141">
        <f t="shared" ca="1" si="22"/>
        <v>3199.4734235777983</v>
      </c>
      <c r="L56" s="141">
        <f t="shared" ca="1" si="23"/>
        <v>198.87470727854861</v>
      </c>
      <c r="M56" s="512">
        <f t="shared" ca="1" si="24"/>
        <v>6.6278341785011561</v>
      </c>
      <c r="N56" s="102" t="s">
        <v>406</v>
      </c>
      <c r="O56" s="102" t="s">
        <v>403</v>
      </c>
      <c r="P56" s="100" t="s">
        <v>195</v>
      </c>
      <c r="Q56" s="100" t="s">
        <v>195</v>
      </c>
      <c r="R56" s="100" t="s">
        <v>281</v>
      </c>
      <c r="S56" s="324">
        <v>1.04</v>
      </c>
      <c r="T56" s="335"/>
      <c r="U56" s="326"/>
    </row>
    <row r="57" spans="1:22" s="159" customFormat="1">
      <c r="A57" s="227" t="s">
        <v>199</v>
      </c>
      <c r="B57" s="227" t="s">
        <v>526</v>
      </c>
      <c r="C57" s="327">
        <v>100</v>
      </c>
      <c r="D57" s="141">
        <v>500</v>
      </c>
      <c r="E57" s="141">
        <f t="shared" si="25"/>
        <v>50000</v>
      </c>
      <c r="F57" s="141">
        <f t="shared" si="18"/>
        <v>4507</v>
      </c>
      <c r="G57" s="141">
        <f t="shared" ca="1" si="19"/>
        <v>4646.5690778069074</v>
      </c>
      <c r="H57" s="141">
        <f t="shared" ca="1" si="20"/>
        <v>139.56907780690744</v>
      </c>
      <c r="I57" s="512">
        <f t="shared" ca="1" si="21"/>
        <v>3.0967179455714988</v>
      </c>
      <c r="J57" s="141">
        <f t="shared" ca="1" si="26"/>
        <v>4646.5690778069074</v>
      </c>
      <c r="K57" s="141">
        <f t="shared" ca="1" si="22"/>
        <v>4954.8439322321865</v>
      </c>
      <c r="L57" s="141">
        <f t="shared" ca="1" si="23"/>
        <v>308.27485442527905</v>
      </c>
      <c r="M57" s="512">
        <f t="shared" ca="1" si="24"/>
        <v>6.6344618849566075</v>
      </c>
      <c r="N57" s="102" t="s">
        <v>406</v>
      </c>
      <c r="O57" s="102" t="s">
        <v>403</v>
      </c>
      <c r="P57" s="100" t="s">
        <v>195</v>
      </c>
      <c r="Q57" s="100" t="s">
        <v>195</v>
      </c>
      <c r="R57" s="100" t="s">
        <v>283</v>
      </c>
      <c r="S57" s="324">
        <v>12.48</v>
      </c>
      <c r="T57" s="335"/>
      <c r="U57" s="326"/>
      <c r="V57" s="322"/>
    </row>
    <row r="58" spans="1:22" s="159" customFormat="1">
      <c r="A58" s="227" t="s">
        <v>199</v>
      </c>
      <c r="B58" s="227" t="s">
        <v>526</v>
      </c>
      <c r="C58" s="327">
        <v>100</v>
      </c>
      <c r="D58" s="141">
        <v>700</v>
      </c>
      <c r="E58" s="141">
        <f t="shared" si="25"/>
        <v>70000</v>
      </c>
      <c r="F58" s="141">
        <f t="shared" si="18"/>
        <v>6079</v>
      </c>
      <c r="G58" s="141">
        <f t="shared" ca="1" si="19"/>
        <v>6292.5394393145634</v>
      </c>
      <c r="H58" s="141">
        <f t="shared" ca="1" si="20"/>
        <v>213.53943931456342</v>
      </c>
      <c r="I58" s="512">
        <f t="shared" ca="1" si="21"/>
        <v>3.5127395840526967</v>
      </c>
      <c r="J58" s="141">
        <f t="shared" ca="1" si="26"/>
        <v>6292.5394393145634</v>
      </c>
      <c r="K58" s="141">
        <f t="shared" ca="1" si="22"/>
        <v>6710.2144408865734</v>
      </c>
      <c r="L58" s="141">
        <f t="shared" ca="1" si="23"/>
        <v>417.67500157200993</v>
      </c>
      <c r="M58" s="512">
        <f t="shared" ca="1" si="24"/>
        <v>6.6376223081329888</v>
      </c>
      <c r="N58" s="102" t="s">
        <v>406</v>
      </c>
      <c r="O58" s="102" t="s">
        <v>403</v>
      </c>
      <c r="P58" s="100" t="s">
        <v>195</v>
      </c>
      <c r="Q58" s="100" t="s">
        <v>195</v>
      </c>
      <c r="R58" s="100" t="s">
        <v>202</v>
      </c>
      <c r="S58" s="324">
        <v>3.81</v>
      </c>
      <c r="T58" s="335"/>
      <c r="U58" s="326"/>
    </row>
    <row r="59" spans="1:22" s="159" customFormat="1">
      <c r="A59" s="402" t="s">
        <v>517</v>
      </c>
      <c r="B59" s="353"/>
      <c r="C59" s="353"/>
      <c r="D59" s="353"/>
      <c r="E59" s="353"/>
      <c r="F59" s="353"/>
      <c r="G59" s="353"/>
      <c r="H59" s="353"/>
      <c r="I59" s="523"/>
      <c r="J59" s="353"/>
      <c r="K59" s="353"/>
      <c r="L59" s="353"/>
      <c r="M59" s="526"/>
      <c r="N59" s="102" t="s">
        <v>406</v>
      </c>
      <c r="O59" s="102" t="s">
        <v>403</v>
      </c>
      <c r="P59" s="100" t="s">
        <v>195</v>
      </c>
      <c r="Q59" s="100" t="s">
        <v>195</v>
      </c>
      <c r="R59" s="100" t="s">
        <v>197</v>
      </c>
      <c r="S59" s="324">
        <v>0.11906</v>
      </c>
      <c r="T59" s="335"/>
      <c r="U59" s="326"/>
    </row>
    <row r="60" spans="1:22">
      <c r="A60" s="393" t="s">
        <v>518</v>
      </c>
      <c r="B60" s="143"/>
      <c r="C60" s="143"/>
      <c r="D60" s="143"/>
      <c r="E60" s="143"/>
      <c r="F60" s="143"/>
      <c r="G60" s="143"/>
      <c r="H60" s="143"/>
      <c r="I60" s="524"/>
      <c r="J60" s="143"/>
      <c r="K60" s="143"/>
      <c r="L60" s="143"/>
      <c r="M60" s="527"/>
      <c r="N60" s="102" t="s">
        <v>406</v>
      </c>
      <c r="O60" s="102" t="s">
        <v>403</v>
      </c>
      <c r="P60" s="100" t="s">
        <v>195</v>
      </c>
      <c r="Q60" s="100" t="s">
        <v>195</v>
      </c>
      <c r="R60" s="100" t="s">
        <v>198</v>
      </c>
      <c r="S60" s="324">
        <v>8.3809999999999996E-2</v>
      </c>
      <c r="T60" s="335"/>
      <c r="U60" s="326"/>
    </row>
    <row r="61" spans="1:22">
      <c r="A61" s="338" t="s">
        <v>523</v>
      </c>
      <c r="B61" s="354"/>
      <c r="C61" s="354"/>
      <c r="D61" s="354"/>
      <c r="E61" s="354"/>
      <c r="F61" s="354"/>
      <c r="G61" s="354"/>
      <c r="H61" s="354"/>
      <c r="I61" s="525"/>
      <c r="J61" s="354"/>
      <c r="K61" s="354"/>
      <c r="L61" s="354"/>
      <c r="M61" s="528"/>
      <c r="N61" s="102" t="s">
        <v>406</v>
      </c>
      <c r="O61" s="102" t="s">
        <v>403</v>
      </c>
      <c r="P61" s="100" t="s">
        <v>195</v>
      </c>
      <c r="Q61" s="100" t="s">
        <v>195</v>
      </c>
      <c r="R61" s="100" t="s">
        <v>282</v>
      </c>
      <c r="S61" s="324">
        <v>7.8600000000000003E-2</v>
      </c>
      <c r="T61" s="335"/>
      <c r="U61" s="326"/>
    </row>
    <row r="62" spans="1:22" s="140" customFormat="1">
      <c r="A62" s="227" t="s">
        <v>200</v>
      </c>
      <c r="B62" s="227" t="s">
        <v>524</v>
      </c>
      <c r="C62" s="327">
        <v>15</v>
      </c>
      <c r="D62" s="141">
        <v>300</v>
      </c>
      <c r="E62" s="141">
        <f>C62*D62</f>
        <v>4500</v>
      </c>
      <c r="F62" s="141">
        <f t="shared" ref="F62:F76" si="27">SUMIFS(S$52:S$55,Q$52:Q$55,A62,R$52:R$55,"Bill")+(S$56+S$58)*C62+S$59*1000+IF(E62&lt;=9000,S$60*(E62-1000),S$60*8000+S$61*(E62-9000))</f>
        <v>499.84499999999997</v>
      </c>
      <c r="G62" s="141">
        <f t="shared" ref="G62:G76" ca="1" si="28">SUMIFS(S$115:S$118,Q$115:Q$118,A62,R$115:R$118,"Bill")+(S$119+S$121)*C62+IF(B62="Summer",S$122,IF(B62="Winter",S$123,AF$123))*1000+IF(B62="Summer",S$124,IF(B62="Winter",S$125,AF$125))*(E62-1000)</f>
        <v>522.65499999999997</v>
      </c>
      <c r="H62" s="141">
        <f t="shared" ref="H62:H76" ca="1" si="29">G62-F62</f>
        <v>22.810000000000002</v>
      </c>
      <c r="I62" s="512">
        <f t="shared" ref="I62:I76" ca="1" si="30">H62/F62*100</f>
        <v>4.5634146585441497</v>
      </c>
      <c r="J62" s="141">
        <f ca="1">G62</f>
        <v>522.65499999999997</v>
      </c>
      <c r="K62" s="141">
        <f t="shared" ref="K62:K76" ca="1" si="31">SUMIFS(S$192:S$195,Q$192:Q$195,A62,R$192:R$195,"Bill")+(S$196+S$198)*C62+IF(B62="Summer",S$199,IF(B62="Winter",S$200,AF$200))*1000+IF(B62="Summer",S$201,IF(B62="Winter",S$202,AF$202))*(E62-1000)</f>
        <v>583.20000000000005</v>
      </c>
      <c r="L62" s="141">
        <f t="shared" ref="L62:L76" ca="1" si="32">K62-J62</f>
        <v>60.545000000000073</v>
      </c>
      <c r="M62" s="512">
        <f t="shared" ref="M62:M76" ca="1" si="33">L62/J62*100</f>
        <v>11.58412337010075</v>
      </c>
      <c r="N62" s="102" t="s">
        <v>406</v>
      </c>
      <c r="O62" s="102" t="s">
        <v>403</v>
      </c>
      <c r="P62" s="100" t="s">
        <v>195</v>
      </c>
      <c r="Q62" s="100" t="s">
        <v>195</v>
      </c>
      <c r="R62" s="100" t="s">
        <v>201</v>
      </c>
      <c r="S62" s="324">
        <v>0.57999999999999996</v>
      </c>
      <c r="T62" s="335"/>
      <c r="U62" s="326"/>
    </row>
    <row r="63" spans="1:22" s="140" customFormat="1">
      <c r="A63" s="227" t="s">
        <v>200</v>
      </c>
      <c r="B63" s="227" t="s">
        <v>524</v>
      </c>
      <c r="C63" s="327">
        <v>15</v>
      </c>
      <c r="D63" s="141">
        <v>500</v>
      </c>
      <c r="E63" s="141">
        <f t="shared" ref="E63:E76" si="34">C63*D63</f>
        <v>7500</v>
      </c>
      <c r="F63" s="141">
        <f t="shared" si="27"/>
        <v>751.27499999999998</v>
      </c>
      <c r="G63" s="141">
        <f t="shared" ca="1" si="28"/>
        <v>788.24499999999989</v>
      </c>
      <c r="H63" s="141">
        <f t="shared" ca="1" si="29"/>
        <v>36.969999999999914</v>
      </c>
      <c r="I63" s="512">
        <f t="shared" ca="1" si="30"/>
        <v>4.9209676882632749</v>
      </c>
      <c r="J63" s="141">
        <f t="shared" ref="J63:J76" ca="1" si="35">G63</f>
        <v>788.24499999999989</v>
      </c>
      <c r="K63" s="141">
        <f t="shared" ca="1" si="31"/>
        <v>883.86000000000013</v>
      </c>
      <c r="L63" s="141">
        <f t="shared" ca="1" si="32"/>
        <v>95.615000000000236</v>
      </c>
      <c r="M63" s="512">
        <f t="shared" ca="1" si="33"/>
        <v>12.130111830712565</v>
      </c>
      <c r="N63" s="102" t="s">
        <v>406</v>
      </c>
      <c r="O63" s="102" t="s">
        <v>403</v>
      </c>
      <c r="P63" s="100" t="s">
        <v>195</v>
      </c>
      <c r="Q63" s="100" t="s">
        <v>195</v>
      </c>
      <c r="R63" s="173" t="s">
        <v>367</v>
      </c>
      <c r="S63" s="324">
        <v>-0.01</v>
      </c>
      <c r="T63" s="335"/>
      <c r="U63" s="326"/>
    </row>
    <row r="64" spans="1:22" s="140" customFormat="1">
      <c r="A64" s="227" t="s">
        <v>200</v>
      </c>
      <c r="B64" s="227" t="s">
        <v>524</v>
      </c>
      <c r="C64" s="327">
        <v>15</v>
      </c>
      <c r="D64" s="141">
        <v>700</v>
      </c>
      <c r="E64" s="141">
        <f t="shared" si="34"/>
        <v>10500</v>
      </c>
      <c r="F64" s="141">
        <f t="shared" si="27"/>
        <v>994.89</v>
      </c>
      <c r="G64" s="141">
        <f t="shared" ca="1" si="28"/>
        <v>1053.835</v>
      </c>
      <c r="H64" s="141">
        <f t="shared" ca="1" si="29"/>
        <v>58.94500000000005</v>
      </c>
      <c r="I64" s="512">
        <f t="shared" ca="1" si="30"/>
        <v>5.9247756033330372</v>
      </c>
      <c r="J64" s="141">
        <f t="shared" ca="1" si="35"/>
        <v>1053.835</v>
      </c>
      <c r="K64" s="141">
        <f t="shared" ca="1" si="31"/>
        <v>1184.52</v>
      </c>
      <c r="L64" s="141">
        <f t="shared" ca="1" si="32"/>
        <v>130.68499999999995</v>
      </c>
      <c r="M64" s="512">
        <f t="shared" ca="1" si="33"/>
        <v>12.400897673734496</v>
      </c>
      <c r="N64" s="102" t="s">
        <v>406</v>
      </c>
      <c r="O64" s="102" t="s">
        <v>403</v>
      </c>
      <c r="P64" s="100" t="s">
        <v>195</v>
      </c>
      <c r="Q64" s="100" t="s">
        <v>195</v>
      </c>
      <c r="R64" s="173" t="s">
        <v>358</v>
      </c>
      <c r="S64" s="324">
        <v>-0.3</v>
      </c>
      <c r="T64" s="335"/>
      <c r="U64" s="326"/>
    </row>
    <row r="65" spans="1:21" s="140" customFormat="1">
      <c r="A65" s="227" t="s">
        <v>200</v>
      </c>
      <c r="B65" s="227" t="s">
        <v>524</v>
      </c>
      <c r="C65" s="327">
        <v>25</v>
      </c>
      <c r="D65" s="141">
        <v>300</v>
      </c>
      <c r="E65" s="141">
        <f t="shared" si="34"/>
        <v>7500</v>
      </c>
      <c r="F65" s="141">
        <f t="shared" si="27"/>
        <v>799.77499999999998</v>
      </c>
      <c r="G65" s="141">
        <f t="shared" ca="1" si="28"/>
        <v>836.74499999999989</v>
      </c>
      <c r="H65" s="141">
        <f t="shared" ca="1" si="29"/>
        <v>36.969999999999914</v>
      </c>
      <c r="I65" s="512">
        <f t="shared" ca="1" si="30"/>
        <v>4.6225500922134248</v>
      </c>
      <c r="J65" s="141">
        <f t="shared" ca="1" si="35"/>
        <v>836.74499999999989</v>
      </c>
      <c r="K65" s="141">
        <f t="shared" ca="1" si="31"/>
        <v>935.56000000000006</v>
      </c>
      <c r="L65" s="141">
        <f t="shared" ca="1" si="32"/>
        <v>98.815000000000168</v>
      </c>
      <c r="M65" s="512">
        <f t="shared" ca="1" si="33"/>
        <v>11.809452103089971</v>
      </c>
      <c r="N65" s="150" t="s">
        <v>406</v>
      </c>
      <c r="O65" s="150" t="s">
        <v>403</v>
      </c>
      <c r="P65" s="152" t="s">
        <v>195</v>
      </c>
      <c r="Q65" s="152" t="s">
        <v>195</v>
      </c>
      <c r="R65" s="266" t="s">
        <v>368</v>
      </c>
      <c r="S65" s="325">
        <v>60</v>
      </c>
      <c r="T65" s="335"/>
      <c r="U65" s="326"/>
    </row>
    <row r="66" spans="1:21" s="140" customFormat="1">
      <c r="A66" s="227" t="s">
        <v>200</v>
      </c>
      <c r="B66" s="227" t="s">
        <v>524</v>
      </c>
      <c r="C66" s="327">
        <v>25</v>
      </c>
      <c r="D66" s="141">
        <v>500</v>
      </c>
      <c r="E66" s="141">
        <f t="shared" si="34"/>
        <v>12500</v>
      </c>
      <c r="F66" s="141">
        <f t="shared" si="27"/>
        <v>1200.5900000000001</v>
      </c>
      <c r="G66" s="141">
        <f t="shared" ca="1" si="28"/>
        <v>1279.395</v>
      </c>
      <c r="H66" s="141">
        <f t="shared" ca="1" si="29"/>
        <v>78.804999999999836</v>
      </c>
      <c r="I66" s="512">
        <f t="shared" ca="1" si="30"/>
        <v>6.5638561040821459</v>
      </c>
      <c r="J66" s="141">
        <f t="shared" ca="1" si="35"/>
        <v>1279.395</v>
      </c>
      <c r="K66" s="141">
        <f t="shared" ca="1" si="31"/>
        <v>1436.6599999999999</v>
      </c>
      <c r="L66" s="141">
        <f t="shared" ca="1" si="32"/>
        <v>157.26499999999987</v>
      </c>
      <c r="M66" s="512">
        <f t="shared" ca="1" si="33"/>
        <v>12.292138080889787</v>
      </c>
      <c r="N66" s="145" t="s">
        <v>406</v>
      </c>
      <c r="O66" s="264" t="s">
        <v>29</v>
      </c>
      <c r="P66" s="146" t="s">
        <v>4</v>
      </c>
      <c r="Q66" s="146" t="s">
        <v>199</v>
      </c>
      <c r="R66" s="146" t="s">
        <v>335</v>
      </c>
      <c r="S66" s="220">
        <f>S8*S52</f>
        <v>387116.41800000001</v>
      </c>
      <c r="T66" s="81"/>
      <c r="U66" s="158"/>
    </row>
    <row r="67" spans="1:21" s="140" customFormat="1">
      <c r="A67" s="227" t="s">
        <v>200</v>
      </c>
      <c r="B67" s="227" t="s">
        <v>524</v>
      </c>
      <c r="C67" s="327">
        <v>25</v>
      </c>
      <c r="D67" s="141">
        <v>700</v>
      </c>
      <c r="E67" s="141">
        <f t="shared" si="34"/>
        <v>17500</v>
      </c>
      <c r="F67" s="141">
        <f t="shared" si="27"/>
        <v>1593.59</v>
      </c>
      <c r="G67" s="141">
        <f t="shared" ca="1" si="28"/>
        <v>1722.0449999999998</v>
      </c>
      <c r="H67" s="141">
        <f t="shared" ca="1" si="29"/>
        <v>128.45499999999993</v>
      </c>
      <c r="I67" s="512">
        <f t="shared" ca="1" si="30"/>
        <v>8.0607308027786271</v>
      </c>
      <c r="J67" s="141">
        <f t="shared" ca="1" si="35"/>
        <v>1722.0449999999998</v>
      </c>
      <c r="K67" s="141">
        <f t="shared" ca="1" si="31"/>
        <v>1937.7600000000002</v>
      </c>
      <c r="L67" s="141">
        <f t="shared" ca="1" si="32"/>
        <v>215.71500000000037</v>
      </c>
      <c r="M67" s="512">
        <f t="shared" ca="1" si="33"/>
        <v>12.526676132156847</v>
      </c>
      <c r="N67" s="102" t="s">
        <v>406</v>
      </c>
      <c r="O67" s="90" t="s">
        <v>29</v>
      </c>
      <c r="P67" s="148" t="s">
        <v>4</v>
      </c>
      <c r="Q67" s="148" t="s">
        <v>200</v>
      </c>
      <c r="R67" s="148" t="s">
        <v>335</v>
      </c>
      <c r="S67" s="217">
        <f>S9*S54</f>
        <v>39949.700000000004</v>
      </c>
      <c r="T67" s="81"/>
      <c r="U67" s="158"/>
    </row>
    <row r="68" spans="1:21" s="140" customFormat="1">
      <c r="A68" s="227" t="s">
        <v>200</v>
      </c>
      <c r="B68" s="227" t="s">
        <v>524</v>
      </c>
      <c r="C68" s="327">
        <v>50</v>
      </c>
      <c r="D68" s="141">
        <v>300</v>
      </c>
      <c r="E68" s="141">
        <f t="shared" si="34"/>
        <v>15000</v>
      </c>
      <c r="F68" s="141">
        <f t="shared" si="27"/>
        <v>1518.34</v>
      </c>
      <c r="G68" s="141">
        <f t="shared" ca="1" si="28"/>
        <v>1621.97</v>
      </c>
      <c r="H68" s="141">
        <f t="shared" ca="1" si="29"/>
        <v>103.63000000000011</v>
      </c>
      <c r="I68" s="512">
        <f t="shared" ca="1" si="30"/>
        <v>6.8252170133171832</v>
      </c>
      <c r="J68" s="141">
        <f t="shared" ca="1" si="35"/>
        <v>1621.97</v>
      </c>
      <c r="K68" s="141">
        <f t="shared" ca="1" si="31"/>
        <v>1816.46</v>
      </c>
      <c r="L68" s="141">
        <f t="shared" ca="1" si="32"/>
        <v>194.49</v>
      </c>
      <c r="M68" s="512">
        <f t="shared" ca="1" si="33"/>
        <v>11.990973939098751</v>
      </c>
      <c r="N68" s="102" t="s">
        <v>406</v>
      </c>
      <c r="O68" s="90" t="s">
        <v>29</v>
      </c>
      <c r="P68" s="148" t="s">
        <v>4</v>
      </c>
      <c r="Q68" s="148" t="s">
        <v>195</v>
      </c>
      <c r="R68" s="148" t="s">
        <v>281</v>
      </c>
      <c r="S68" s="217">
        <f>S10*S56</f>
        <v>25535.041333333338</v>
      </c>
      <c r="T68" s="81"/>
      <c r="U68" s="158"/>
    </row>
    <row r="69" spans="1:21" s="140" customFormat="1">
      <c r="A69" s="227" t="s">
        <v>200</v>
      </c>
      <c r="B69" s="227" t="s">
        <v>524</v>
      </c>
      <c r="C69" s="327">
        <v>50</v>
      </c>
      <c r="D69" s="141">
        <v>500</v>
      </c>
      <c r="E69" s="141">
        <f t="shared" si="34"/>
        <v>25000</v>
      </c>
      <c r="F69" s="141">
        <f t="shared" si="27"/>
        <v>2304.34</v>
      </c>
      <c r="G69" s="141">
        <f t="shared" ca="1" si="28"/>
        <v>2507.27</v>
      </c>
      <c r="H69" s="141">
        <f t="shared" ca="1" si="29"/>
        <v>202.92999999999984</v>
      </c>
      <c r="I69" s="512">
        <f t="shared" ca="1" si="30"/>
        <v>8.8064261350321491</v>
      </c>
      <c r="J69" s="141">
        <f t="shared" ca="1" si="35"/>
        <v>2507.27</v>
      </c>
      <c r="K69" s="141">
        <f t="shared" ca="1" si="31"/>
        <v>2818.6600000000003</v>
      </c>
      <c r="L69" s="141">
        <f t="shared" ca="1" si="32"/>
        <v>311.39000000000033</v>
      </c>
      <c r="M69" s="512">
        <f t="shared" ca="1" si="33"/>
        <v>12.419484140120543</v>
      </c>
      <c r="N69" s="102" t="s">
        <v>406</v>
      </c>
      <c r="O69" s="90" t="s">
        <v>29</v>
      </c>
      <c r="P69" s="148" t="s">
        <v>4</v>
      </c>
      <c r="Q69" s="148" t="s">
        <v>195</v>
      </c>
      <c r="R69" s="148" t="s">
        <v>202</v>
      </c>
      <c r="S69" s="217">
        <f>S11*S58</f>
        <v>55302.650000000009</v>
      </c>
      <c r="T69" s="81"/>
      <c r="U69" s="158"/>
    </row>
    <row r="70" spans="1:21" s="140" customFormat="1">
      <c r="A70" s="227" t="s">
        <v>200</v>
      </c>
      <c r="B70" s="227" t="s">
        <v>524</v>
      </c>
      <c r="C70" s="327">
        <v>50</v>
      </c>
      <c r="D70" s="141">
        <v>700</v>
      </c>
      <c r="E70" s="141">
        <f t="shared" si="34"/>
        <v>35000</v>
      </c>
      <c r="F70" s="141">
        <f t="shared" si="27"/>
        <v>3090.34</v>
      </c>
      <c r="G70" s="141">
        <f t="shared" ca="1" si="28"/>
        <v>3392.57</v>
      </c>
      <c r="H70" s="141">
        <f t="shared" ca="1" si="29"/>
        <v>302.23</v>
      </c>
      <c r="I70" s="512">
        <f t="shared" ca="1" si="30"/>
        <v>9.7798300510623424</v>
      </c>
      <c r="J70" s="141">
        <f t="shared" ca="1" si="35"/>
        <v>3392.57</v>
      </c>
      <c r="K70" s="141">
        <f t="shared" ca="1" si="31"/>
        <v>3820.86</v>
      </c>
      <c r="L70" s="141">
        <f t="shared" ca="1" si="32"/>
        <v>428.28999999999996</v>
      </c>
      <c r="M70" s="512">
        <f t="shared" ca="1" si="33"/>
        <v>12.62435262942253</v>
      </c>
      <c r="N70" s="102" t="s">
        <v>406</v>
      </c>
      <c r="O70" s="90" t="s">
        <v>29</v>
      </c>
      <c r="P70" s="148" t="s">
        <v>4</v>
      </c>
      <c r="Q70" s="148" t="s">
        <v>195</v>
      </c>
      <c r="R70" s="148" t="s">
        <v>197</v>
      </c>
      <c r="S70" s="217">
        <f>(S12+S13)*S59</f>
        <v>1615255.1416998121</v>
      </c>
      <c r="T70" s="81"/>
      <c r="U70" s="158"/>
    </row>
    <row r="71" spans="1:21" s="140" customFormat="1">
      <c r="A71" s="227" t="s">
        <v>200</v>
      </c>
      <c r="B71" s="227" t="s">
        <v>524</v>
      </c>
      <c r="C71" s="327">
        <v>75</v>
      </c>
      <c r="D71" s="141">
        <v>300</v>
      </c>
      <c r="E71" s="141">
        <f t="shared" si="34"/>
        <v>22500</v>
      </c>
      <c r="F71" s="141">
        <f t="shared" si="27"/>
        <v>2229.09</v>
      </c>
      <c r="G71" s="141">
        <f t="shared" ca="1" si="28"/>
        <v>2407.1950000000002</v>
      </c>
      <c r="H71" s="141">
        <f t="shared" ca="1" si="29"/>
        <v>178.10500000000002</v>
      </c>
      <c r="I71" s="512">
        <f t="shared" ca="1" si="30"/>
        <v>7.9900318067013893</v>
      </c>
      <c r="J71" s="141">
        <f t="shared" ca="1" si="35"/>
        <v>2407.1950000000002</v>
      </c>
      <c r="K71" s="141">
        <f t="shared" ca="1" si="31"/>
        <v>2697.36</v>
      </c>
      <c r="L71" s="141">
        <f t="shared" ca="1" si="32"/>
        <v>290.16499999999996</v>
      </c>
      <c r="M71" s="512">
        <f t="shared" ca="1" si="33"/>
        <v>12.054071232284876</v>
      </c>
      <c r="N71" s="102" t="s">
        <v>406</v>
      </c>
      <c r="O71" s="90" t="s">
        <v>29</v>
      </c>
      <c r="P71" s="148" t="s">
        <v>4</v>
      </c>
      <c r="Q71" s="148" t="s">
        <v>195</v>
      </c>
      <c r="R71" s="148" t="s">
        <v>198</v>
      </c>
      <c r="S71" s="217">
        <f>(S14+S15)*S60</f>
        <v>595674.56128873595</v>
      </c>
      <c r="T71" s="81"/>
      <c r="U71" s="158"/>
    </row>
    <row r="72" spans="1:21" s="140" customFormat="1">
      <c r="A72" s="227" t="s">
        <v>200</v>
      </c>
      <c r="B72" s="227" t="s">
        <v>524</v>
      </c>
      <c r="C72" s="327">
        <v>75</v>
      </c>
      <c r="D72" s="141">
        <v>500</v>
      </c>
      <c r="E72" s="141">
        <f t="shared" si="34"/>
        <v>37500</v>
      </c>
      <c r="F72" s="141">
        <f t="shared" si="27"/>
        <v>3408.09</v>
      </c>
      <c r="G72" s="141">
        <f t="shared" ca="1" si="28"/>
        <v>3735.145</v>
      </c>
      <c r="H72" s="141">
        <f t="shared" ca="1" si="29"/>
        <v>327.05499999999984</v>
      </c>
      <c r="I72" s="512">
        <f t="shared" ca="1" si="30"/>
        <v>9.5964308454295466</v>
      </c>
      <c r="J72" s="141">
        <f t="shared" ca="1" si="35"/>
        <v>3735.145</v>
      </c>
      <c r="K72" s="141">
        <f t="shared" ca="1" si="31"/>
        <v>4200.66</v>
      </c>
      <c r="L72" s="141">
        <f t="shared" ca="1" si="32"/>
        <v>465.51499999999987</v>
      </c>
      <c r="M72" s="512">
        <f t="shared" ca="1" si="33"/>
        <v>12.463103842019517</v>
      </c>
      <c r="N72" s="102" t="s">
        <v>406</v>
      </c>
      <c r="O72" s="90" t="s">
        <v>29</v>
      </c>
      <c r="P72" s="148" t="s">
        <v>4</v>
      </c>
      <c r="Q72" s="148" t="s">
        <v>195</v>
      </c>
      <c r="R72" s="148" t="s">
        <v>282</v>
      </c>
      <c r="S72" s="217">
        <f>(S16+S17)*S61</f>
        <v>73114.223797018247</v>
      </c>
      <c r="T72" s="81"/>
      <c r="U72" s="158"/>
    </row>
    <row r="73" spans="1:21" s="140" customFormat="1">
      <c r="A73" s="227" t="s">
        <v>200</v>
      </c>
      <c r="B73" s="227" t="s">
        <v>524</v>
      </c>
      <c r="C73" s="327">
        <v>75</v>
      </c>
      <c r="D73" s="141">
        <v>700</v>
      </c>
      <c r="E73" s="141">
        <f t="shared" si="34"/>
        <v>52500</v>
      </c>
      <c r="F73" s="141">
        <f t="shared" si="27"/>
        <v>4587.09</v>
      </c>
      <c r="G73" s="141">
        <f t="shared" ca="1" si="28"/>
        <v>5063.0950000000003</v>
      </c>
      <c r="H73" s="141">
        <f t="shared" ca="1" si="29"/>
        <v>476.00500000000011</v>
      </c>
      <c r="I73" s="512">
        <f t="shared" ca="1" si="30"/>
        <v>10.377058222097235</v>
      </c>
      <c r="J73" s="141">
        <f t="shared" ca="1" si="35"/>
        <v>5063.0950000000003</v>
      </c>
      <c r="K73" s="141">
        <f t="shared" ca="1" si="31"/>
        <v>5703.96</v>
      </c>
      <c r="L73" s="141">
        <f t="shared" ca="1" si="32"/>
        <v>640.86499999999978</v>
      </c>
      <c r="M73" s="512">
        <f t="shared" ca="1" si="33"/>
        <v>12.65757407277564</v>
      </c>
      <c r="N73" s="102" t="s">
        <v>406</v>
      </c>
      <c r="O73" s="90" t="s">
        <v>29</v>
      </c>
      <c r="P73" s="148" t="s">
        <v>4</v>
      </c>
      <c r="Q73" s="148" t="s">
        <v>195</v>
      </c>
      <c r="R73" s="148" t="s">
        <v>201</v>
      </c>
      <c r="S73" s="217">
        <f>S18*S62</f>
        <v>65.539999999999992</v>
      </c>
      <c r="T73" s="81"/>
      <c r="U73" s="158"/>
    </row>
    <row r="74" spans="1:21" s="140" customFormat="1">
      <c r="A74" s="227" t="s">
        <v>200</v>
      </c>
      <c r="B74" s="227" t="s">
        <v>524</v>
      </c>
      <c r="C74" s="327">
        <v>100</v>
      </c>
      <c r="D74" s="141">
        <v>300</v>
      </c>
      <c r="E74" s="141">
        <f t="shared" si="34"/>
        <v>30000</v>
      </c>
      <c r="F74" s="141">
        <f t="shared" si="27"/>
        <v>2939.84</v>
      </c>
      <c r="G74" s="141">
        <f t="shared" ca="1" si="28"/>
        <v>3192.42</v>
      </c>
      <c r="H74" s="141">
        <f t="shared" ca="1" si="29"/>
        <v>252.57999999999993</v>
      </c>
      <c r="I74" s="512">
        <f t="shared" ca="1" si="30"/>
        <v>8.591624033961029</v>
      </c>
      <c r="J74" s="141">
        <f t="shared" ca="1" si="35"/>
        <v>3192.42</v>
      </c>
      <c r="K74" s="141">
        <f t="shared" ca="1" si="31"/>
        <v>3578.26</v>
      </c>
      <c r="L74" s="141">
        <f t="shared" ca="1" si="32"/>
        <v>385.84000000000015</v>
      </c>
      <c r="M74" s="512">
        <f t="shared" ca="1" si="33"/>
        <v>12.086129018111656</v>
      </c>
      <c r="N74" s="150" t="s">
        <v>406</v>
      </c>
      <c r="O74" s="265" t="s">
        <v>29</v>
      </c>
      <c r="P74" s="152" t="s">
        <v>4</v>
      </c>
      <c r="Q74" s="152" t="s">
        <v>195</v>
      </c>
      <c r="R74" s="216" t="s">
        <v>168</v>
      </c>
      <c r="S74" s="218">
        <f>Unbilled!E5</f>
        <v>92749.030275302401</v>
      </c>
      <c r="T74" s="81"/>
      <c r="U74" s="158"/>
    </row>
    <row r="75" spans="1:21" s="140" customFormat="1">
      <c r="A75" s="227" t="s">
        <v>200</v>
      </c>
      <c r="B75" s="227" t="s">
        <v>524</v>
      </c>
      <c r="C75" s="327">
        <v>100</v>
      </c>
      <c r="D75" s="141">
        <v>500</v>
      </c>
      <c r="E75" s="141">
        <f t="shared" si="34"/>
        <v>50000</v>
      </c>
      <c r="F75" s="141">
        <f t="shared" si="27"/>
        <v>4511.84</v>
      </c>
      <c r="G75" s="141">
        <f t="shared" ca="1" si="28"/>
        <v>4963.0200000000004</v>
      </c>
      <c r="H75" s="141">
        <f t="shared" ca="1" si="29"/>
        <v>451.18000000000029</v>
      </c>
      <c r="I75" s="512">
        <f t="shared" ca="1" si="30"/>
        <v>9.9999113443739205</v>
      </c>
      <c r="J75" s="141">
        <f t="shared" ca="1" si="35"/>
        <v>4963.0200000000004</v>
      </c>
      <c r="K75" s="141">
        <f t="shared" ca="1" si="31"/>
        <v>5582.66</v>
      </c>
      <c r="L75" s="141">
        <f t="shared" ca="1" si="32"/>
        <v>619.63999999999942</v>
      </c>
      <c r="M75" s="512">
        <f t="shared" ca="1" si="33"/>
        <v>12.48514009615112</v>
      </c>
      <c r="N75" s="145" t="s">
        <v>406</v>
      </c>
      <c r="O75" s="264" t="s">
        <v>29</v>
      </c>
      <c r="P75" s="146" t="s">
        <v>5</v>
      </c>
      <c r="Q75" s="146" t="s">
        <v>199</v>
      </c>
      <c r="R75" s="146" t="s">
        <v>335</v>
      </c>
      <c r="S75" s="220">
        <f t="shared" ref="S75:S81" si="36">S19*S52</f>
        <v>1355619.848</v>
      </c>
      <c r="T75" s="81"/>
      <c r="U75" s="158"/>
    </row>
    <row r="76" spans="1:21" s="140" customFormat="1">
      <c r="A76" s="227" t="s">
        <v>200</v>
      </c>
      <c r="B76" s="227" t="s">
        <v>524</v>
      </c>
      <c r="C76" s="327">
        <v>100</v>
      </c>
      <c r="D76" s="141">
        <v>700</v>
      </c>
      <c r="E76" s="141">
        <f t="shared" si="34"/>
        <v>70000</v>
      </c>
      <c r="F76" s="141">
        <f t="shared" si="27"/>
        <v>6083.84</v>
      </c>
      <c r="G76" s="141">
        <f t="shared" ca="1" si="28"/>
        <v>6733.62</v>
      </c>
      <c r="H76" s="141">
        <f t="shared" ca="1" si="29"/>
        <v>649.77999999999975</v>
      </c>
      <c r="I76" s="512">
        <f t="shared" ca="1" si="30"/>
        <v>10.68042552072375</v>
      </c>
      <c r="J76" s="141">
        <f t="shared" ca="1" si="35"/>
        <v>6733.62</v>
      </c>
      <c r="K76" s="141">
        <f t="shared" ca="1" si="31"/>
        <v>7587.06</v>
      </c>
      <c r="L76" s="141">
        <f t="shared" ca="1" si="32"/>
        <v>853.44000000000051</v>
      </c>
      <c r="M76" s="512">
        <f t="shared" ca="1" si="33"/>
        <v>12.674311885731607</v>
      </c>
      <c r="N76" s="102" t="s">
        <v>406</v>
      </c>
      <c r="O76" s="90" t="s">
        <v>29</v>
      </c>
      <c r="P76" s="148" t="s">
        <v>5</v>
      </c>
      <c r="Q76" s="148" t="s">
        <v>199</v>
      </c>
      <c r="R76" s="148" t="s">
        <v>336</v>
      </c>
      <c r="S76" s="217">
        <f t="shared" si="36"/>
        <v>311.19780821917806</v>
      </c>
      <c r="T76" s="81"/>
      <c r="U76" s="158"/>
    </row>
    <row r="77" spans="1:21" s="140" customFormat="1">
      <c r="A77" s="402" t="s">
        <v>517</v>
      </c>
      <c r="B77" s="353"/>
      <c r="C77" s="353"/>
      <c r="D77" s="353"/>
      <c r="E77" s="353"/>
      <c r="F77" s="353"/>
      <c r="G77" s="353"/>
      <c r="H77" s="353"/>
      <c r="I77" s="523"/>
      <c r="J77" s="353"/>
      <c r="K77" s="353"/>
      <c r="L77" s="353"/>
      <c r="M77" s="526"/>
      <c r="N77" s="102" t="s">
        <v>406</v>
      </c>
      <c r="O77" s="90" t="s">
        <v>29</v>
      </c>
      <c r="P77" s="148" t="s">
        <v>5</v>
      </c>
      <c r="Q77" s="148" t="s">
        <v>200</v>
      </c>
      <c r="R77" s="148" t="s">
        <v>335</v>
      </c>
      <c r="S77" s="217">
        <f t="shared" si="36"/>
        <v>949837.55999999982</v>
      </c>
      <c r="T77" s="81"/>
      <c r="U77" s="158"/>
    </row>
    <row r="78" spans="1:21" s="140" customFormat="1">
      <c r="A78" s="393" t="s">
        <v>518</v>
      </c>
      <c r="B78" s="143"/>
      <c r="C78" s="143"/>
      <c r="D78" s="143"/>
      <c r="E78" s="143"/>
      <c r="F78" s="143"/>
      <c r="G78" s="143"/>
      <c r="H78" s="143"/>
      <c r="I78" s="524"/>
      <c r="J78" s="143"/>
      <c r="K78" s="143"/>
      <c r="L78" s="143"/>
      <c r="M78" s="527"/>
      <c r="N78" s="102" t="s">
        <v>406</v>
      </c>
      <c r="O78" s="90" t="s">
        <v>29</v>
      </c>
      <c r="P78" s="148" t="s">
        <v>5</v>
      </c>
      <c r="Q78" s="148" t="s">
        <v>200</v>
      </c>
      <c r="R78" s="148" t="s">
        <v>336</v>
      </c>
      <c r="S78" s="217">
        <f t="shared" si="36"/>
        <v>11196.325479452053</v>
      </c>
      <c r="T78" s="81"/>
      <c r="U78" s="158"/>
    </row>
    <row r="79" spans="1:21" s="140" customFormat="1">
      <c r="A79" s="338" t="s">
        <v>523</v>
      </c>
      <c r="B79" s="354"/>
      <c r="C79" s="354"/>
      <c r="D79" s="354"/>
      <c r="E79" s="354"/>
      <c r="F79" s="354"/>
      <c r="G79" s="354"/>
      <c r="H79" s="354"/>
      <c r="I79" s="525"/>
      <c r="J79" s="354"/>
      <c r="K79" s="354"/>
      <c r="L79" s="354"/>
      <c r="M79" s="528"/>
      <c r="N79" s="102" t="s">
        <v>406</v>
      </c>
      <c r="O79" s="90" t="s">
        <v>29</v>
      </c>
      <c r="P79" s="148" t="s">
        <v>5</v>
      </c>
      <c r="Q79" s="148" t="s">
        <v>195</v>
      </c>
      <c r="R79" s="148" t="s">
        <v>281</v>
      </c>
      <c r="S79" s="217">
        <f t="shared" si="36"/>
        <v>1235393.8873333335</v>
      </c>
      <c r="T79" s="81"/>
      <c r="U79" s="158"/>
    </row>
    <row r="80" spans="1:21" s="140" customFormat="1">
      <c r="A80" s="227" t="s">
        <v>200</v>
      </c>
      <c r="B80" s="227" t="s">
        <v>525</v>
      </c>
      <c r="C80" s="327">
        <v>15</v>
      </c>
      <c r="D80" s="141">
        <v>300</v>
      </c>
      <c r="E80" s="141">
        <f>C80*D80</f>
        <v>4500</v>
      </c>
      <c r="F80" s="141">
        <f t="shared" ref="F80:F94" si="37">SUMIFS(S$52:S$55,Q$52:Q$55,A80,R$52:R$55,"Bill")+(S$56+S$58)*C80+S$59*1000+IF(E80&lt;=9000,S$60*(E80-1000),S$60*8000+S$61*(E80-9000))</f>
        <v>499.84499999999997</v>
      </c>
      <c r="G80" s="141">
        <f t="shared" ref="G80:G94" ca="1" si="38">SUMIFS(S$115:S$118,Q$115:Q$118,A80,R$115:R$118,"Bill")+(S$119+S$121)*C80+IF(B80="Summer",S$122,IF(B80="Winter",S$123,AF$123))*1000+IF(B80="Summer",S$124,IF(B80="Winter",S$125,AF$125))*(E80-1000)</f>
        <v>479.41</v>
      </c>
      <c r="H80" s="141">
        <f ca="1">G80-F80</f>
        <v>-20.434999999999945</v>
      </c>
      <c r="I80" s="512">
        <f ca="1">H80/F80*100</f>
        <v>-4.0882673628824824</v>
      </c>
      <c r="J80" s="141">
        <f ca="1">G80</f>
        <v>479.41</v>
      </c>
      <c r="K80" s="141">
        <f t="shared" ref="K80:K94" ca="1" si="39">SUMIFS(S$192:S$195,Q$192:Q$195,A80,R$192:R$195,"Bill")+(S$196+S$198)*C80+IF(B80="Summer",S$199,IF(B80="Winter",S$200,AF$200))*1000+IF(B80="Summer",S$201,IF(B80="Winter",S$202,AF$202))*(E80-1000)</f>
        <v>496.755</v>
      </c>
      <c r="L80" s="141">
        <f ca="1">K80-J80</f>
        <v>17.34499999999997</v>
      </c>
      <c r="M80" s="512">
        <f ca="1">L80/J80*100</f>
        <v>3.6179887778727959</v>
      </c>
      <c r="N80" s="102" t="s">
        <v>406</v>
      </c>
      <c r="O80" s="90" t="s">
        <v>29</v>
      </c>
      <c r="P80" s="148" t="s">
        <v>5</v>
      </c>
      <c r="Q80" s="148" t="s">
        <v>195</v>
      </c>
      <c r="R80" s="148" t="s">
        <v>283</v>
      </c>
      <c r="S80" s="217">
        <f t="shared" si="36"/>
        <v>26583.414575342464</v>
      </c>
      <c r="T80" s="81"/>
      <c r="U80" s="158"/>
    </row>
    <row r="81" spans="1:21" s="140" customFormat="1">
      <c r="A81" s="227" t="s">
        <v>200</v>
      </c>
      <c r="B81" s="227" t="s">
        <v>525</v>
      </c>
      <c r="C81" s="327">
        <v>15</v>
      </c>
      <c r="D81" s="141">
        <v>500</v>
      </c>
      <c r="E81" s="141">
        <f t="shared" ref="E81:E94" si="40">C81*D81</f>
        <v>7500</v>
      </c>
      <c r="F81" s="141">
        <f t="shared" si="37"/>
        <v>751.27499999999998</v>
      </c>
      <c r="G81" s="141">
        <f t="shared" ca="1" si="38"/>
        <v>716.17000000000007</v>
      </c>
      <c r="H81" s="141">
        <f ca="1">G81-F81</f>
        <v>-35.104999999999905</v>
      </c>
      <c r="I81" s="512">
        <f ca="1">H81/F81*100</f>
        <v>-4.672723037502899</v>
      </c>
      <c r="J81" s="141">
        <f t="shared" ref="J81:J94" ca="1" si="41">G81</f>
        <v>716.17000000000007</v>
      </c>
      <c r="K81" s="141">
        <f t="shared" ca="1" si="39"/>
        <v>739.78499999999997</v>
      </c>
      <c r="L81" s="141">
        <f ca="1">K81-J81</f>
        <v>23.614999999999895</v>
      </c>
      <c r="M81" s="512">
        <f ca="1">L81/J81*100</f>
        <v>3.297401454961796</v>
      </c>
      <c r="N81" s="102" t="s">
        <v>406</v>
      </c>
      <c r="O81" s="90" t="s">
        <v>29</v>
      </c>
      <c r="P81" s="148" t="s">
        <v>5</v>
      </c>
      <c r="Q81" s="148" t="s">
        <v>195</v>
      </c>
      <c r="R81" s="148" t="s">
        <v>202</v>
      </c>
      <c r="S81" s="217">
        <f t="shared" si="36"/>
        <v>2724849.07</v>
      </c>
      <c r="T81" s="81"/>
      <c r="U81" s="158"/>
    </row>
    <row r="82" spans="1:21" s="140" customFormat="1">
      <c r="A82" s="227" t="s">
        <v>200</v>
      </c>
      <c r="B82" s="227" t="s">
        <v>525</v>
      </c>
      <c r="C82" s="327">
        <v>15</v>
      </c>
      <c r="D82" s="141">
        <v>700</v>
      </c>
      <c r="E82" s="141">
        <f t="shared" si="40"/>
        <v>10500</v>
      </c>
      <c r="F82" s="141">
        <f t="shared" si="37"/>
        <v>994.89</v>
      </c>
      <c r="G82" s="141">
        <f t="shared" ca="1" si="38"/>
        <v>952.93000000000006</v>
      </c>
      <c r="H82" s="141">
        <f ca="1">G82-F82</f>
        <v>-41.959999999999923</v>
      </c>
      <c r="I82" s="512">
        <f ca="1">H82/F82*100</f>
        <v>-4.2175516891314535</v>
      </c>
      <c r="J82" s="141">
        <f t="shared" ca="1" si="41"/>
        <v>952.93000000000006</v>
      </c>
      <c r="K82" s="141">
        <f t="shared" ca="1" si="39"/>
        <v>982.81500000000005</v>
      </c>
      <c r="L82" s="141">
        <f ca="1">K82-J82</f>
        <v>29.884999999999991</v>
      </c>
      <c r="M82" s="512">
        <f ca="1">L82/J82*100</f>
        <v>3.1361170285330497</v>
      </c>
      <c r="N82" s="102" t="s">
        <v>406</v>
      </c>
      <c r="O82" s="90" t="s">
        <v>29</v>
      </c>
      <c r="P82" s="148" t="s">
        <v>5</v>
      </c>
      <c r="Q82" s="148" t="s">
        <v>195</v>
      </c>
      <c r="R82" s="148" t="s">
        <v>197</v>
      </c>
      <c r="S82" s="217">
        <f>(S26+S27)*S59</f>
        <v>14878619.338947346</v>
      </c>
      <c r="T82" s="81"/>
      <c r="U82" s="158"/>
    </row>
    <row r="83" spans="1:21" s="140" customFormat="1">
      <c r="A83" s="227" t="s">
        <v>200</v>
      </c>
      <c r="B83" s="227" t="s">
        <v>525</v>
      </c>
      <c r="C83" s="327">
        <v>25</v>
      </c>
      <c r="D83" s="141">
        <v>300</v>
      </c>
      <c r="E83" s="141">
        <f t="shared" si="40"/>
        <v>7500</v>
      </c>
      <c r="F83" s="141">
        <f t="shared" si="37"/>
        <v>799.77499999999998</v>
      </c>
      <c r="G83" s="141">
        <f t="shared" ca="1" si="38"/>
        <v>764.67000000000007</v>
      </c>
      <c r="H83" s="141">
        <f ca="1">G83-F83</f>
        <v>-35.104999999999905</v>
      </c>
      <c r="I83" s="512">
        <f ca="1">H83/F83*100</f>
        <v>-4.3893595073614335</v>
      </c>
      <c r="J83" s="141">
        <f t="shared" ca="1" si="41"/>
        <v>764.67000000000007</v>
      </c>
      <c r="K83" s="141">
        <f t="shared" ca="1" si="39"/>
        <v>791.4849999999999</v>
      </c>
      <c r="L83" s="141">
        <f ca="1">K83-J83</f>
        <v>26.814999999999827</v>
      </c>
      <c r="M83" s="512">
        <f ca="1">L83/J83*100</f>
        <v>3.5067414701766544</v>
      </c>
      <c r="N83" s="102" t="s">
        <v>406</v>
      </c>
      <c r="O83" s="90" t="s">
        <v>29</v>
      </c>
      <c r="P83" s="148" t="s">
        <v>5</v>
      </c>
      <c r="Q83" s="148" t="s">
        <v>195</v>
      </c>
      <c r="R83" s="148" t="s">
        <v>198</v>
      </c>
      <c r="S83" s="217">
        <f>(S28+S29)*S60</f>
        <v>22891841.685084656</v>
      </c>
      <c r="T83" s="81"/>
      <c r="U83" s="158"/>
    </row>
    <row r="84" spans="1:21" s="140" customFormat="1">
      <c r="A84" s="227" t="s">
        <v>200</v>
      </c>
      <c r="B84" s="227" t="s">
        <v>525</v>
      </c>
      <c r="C84" s="327">
        <v>25</v>
      </c>
      <c r="D84" s="141">
        <v>500</v>
      </c>
      <c r="E84" s="141">
        <f t="shared" si="40"/>
        <v>12500</v>
      </c>
      <c r="F84" s="141">
        <f t="shared" si="37"/>
        <v>1200.5900000000001</v>
      </c>
      <c r="G84" s="141">
        <f t="shared" ca="1" si="38"/>
        <v>1159.27</v>
      </c>
      <c r="H84" s="141">
        <f t="shared" ref="H84:H94" ca="1" si="42">G84-F84</f>
        <v>-41.320000000000164</v>
      </c>
      <c r="I84" s="512">
        <f t="shared" ref="I84:I94" ca="1" si="43">H84/F84*100</f>
        <v>-3.4416411930800819</v>
      </c>
      <c r="J84" s="141">
        <f t="shared" ca="1" si="41"/>
        <v>1159.27</v>
      </c>
      <c r="K84" s="141">
        <f t="shared" ca="1" si="39"/>
        <v>1196.5350000000001</v>
      </c>
      <c r="L84" s="141">
        <f t="shared" ref="L84:L94" ca="1" si="44">K84-J84</f>
        <v>37.2650000000001</v>
      </c>
      <c r="M84" s="512">
        <f t="shared" ref="M84:M94" ca="1" si="45">L84/J84*100</f>
        <v>3.2145229325351381</v>
      </c>
      <c r="N84" s="102" t="s">
        <v>406</v>
      </c>
      <c r="O84" s="90" t="s">
        <v>29</v>
      </c>
      <c r="P84" s="148" t="s">
        <v>5</v>
      </c>
      <c r="Q84" s="148" t="s">
        <v>195</v>
      </c>
      <c r="R84" s="148" t="s">
        <v>282</v>
      </c>
      <c r="S84" s="217">
        <f>(S30+S31)*S61</f>
        <v>8590652.990384018</v>
      </c>
      <c r="T84" s="81"/>
      <c r="U84" s="158"/>
    </row>
    <row r="85" spans="1:21" s="140" customFormat="1">
      <c r="A85" s="227" t="s">
        <v>200</v>
      </c>
      <c r="B85" s="227" t="s">
        <v>525</v>
      </c>
      <c r="C85" s="327">
        <v>25</v>
      </c>
      <c r="D85" s="141">
        <v>700</v>
      </c>
      <c r="E85" s="141">
        <f t="shared" si="40"/>
        <v>17500</v>
      </c>
      <c r="F85" s="141">
        <f t="shared" si="37"/>
        <v>1593.59</v>
      </c>
      <c r="G85" s="141">
        <f t="shared" ca="1" si="38"/>
        <v>1553.8700000000001</v>
      </c>
      <c r="H85" s="141">
        <f t="shared" ca="1" si="42"/>
        <v>-39.7199999999998</v>
      </c>
      <c r="I85" s="512">
        <f t="shared" ca="1" si="43"/>
        <v>-2.4924855201149483</v>
      </c>
      <c r="J85" s="141">
        <f t="shared" ca="1" si="41"/>
        <v>1553.8700000000001</v>
      </c>
      <c r="K85" s="141">
        <f t="shared" ca="1" si="39"/>
        <v>1601.585</v>
      </c>
      <c r="L85" s="141">
        <f t="shared" ca="1" si="44"/>
        <v>47.714999999999918</v>
      </c>
      <c r="M85" s="512">
        <f t="shared" ca="1" si="45"/>
        <v>3.0707202018186797</v>
      </c>
      <c r="N85" s="102" t="s">
        <v>406</v>
      </c>
      <c r="O85" s="90" t="s">
        <v>29</v>
      </c>
      <c r="P85" s="148" t="s">
        <v>5</v>
      </c>
      <c r="Q85" s="148" t="s">
        <v>195</v>
      </c>
      <c r="R85" s="148" t="s">
        <v>201</v>
      </c>
      <c r="S85" s="217">
        <f>S32*S62</f>
        <v>63169.819999999992</v>
      </c>
      <c r="T85" s="81"/>
      <c r="U85" s="158"/>
    </row>
    <row r="86" spans="1:21" s="140" customFormat="1">
      <c r="A86" s="227" t="s">
        <v>200</v>
      </c>
      <c r="B86" s="227" t="s">
        <v>525</v>
      </c>
      <c r="C86" s="327">
        <v>50</v>
      </c>
      <c r="D86" s="141">
        <v>300</v>
      </c>
      <c r="E86" s="141">
        <f t="shared" si="40"/>
        <v>15000</v>
      </c>
      <c r="F86" s="141">
        <f t="shared" si="37"/>
        <v>1518.34</v>
      </c>
      <c r="G86" s="141">
        <f t="shared" ca="1" si="38"/>
        <v>1477.8200000000002</v>
      </c>
      <c r="H86" s="141">
        <f t="shared" ca="1" si="42"/>
        <v>-40.519999999999754</v>
      </c>
      <c r="I86" s="512">
        <f t="shared" ca="1" si="43"/>
        <v>-2.6687039793458487</v>
      </c>
      <c r="J86" s="141">
        <f t="shared" ca="1" si="41"/>
        <v>1477.8200000000002</v>
      </c>
      <c r="K86" s="141">
        <f t="shared" ca="1" si="39"/>
        <v>1528.31</v>
      </c>
      <c r="L86" s="141">
        <f t="shared" ca="1" si="44"/>
        <v>50.489999999999782</v>
      </c>
      <c r="M86" s="512">
        <f t="shared" ca="1" si="45"/>
        <v>3.416518926526896</v>
      </c>
      <c r="N86" s="102" t="s">
        <v>406</v>
      </c>
      <c r="O86" s="90" t="s">
        <v>29</v>
      </c>
      <c r="P86" s="148" t="s">
        <v>5</v>
      </c>
      <c r="Q86" s="148" t="s">
        <v>195</v>
      </c>
      <c r="R86" s="173" t="s">
        <v>367</v>
      </c>
      <c r="S86" s="217">
        <f>S33*S63</f>
        <v>-1043.94</v>
      </c>
      <c r="T86" s="81"/>
      <c r="U86" s="158"/>
    </row>
    <row r="87" spans="1:21" s="140" customFormat="1">
      <c r="A87" s="227" t="s">
        <v>200</v>
      </c>
      <c r="B87" s="227" t="s">
        <v>525</v>
      </c>
      <c r="C87" s="327">
        <v>50</v>
      </c>
      <c r="D87" s="141">
        <v>500</v>
      </c>
      <c r="E87" s="141">
        <f t="shared" si="40"/>
        <v>25000</v>
      </c>
      <c r="F87" s="141">
        <f t="shared" si="37"/>
        <v>2304.34</v>
      </c>
      <c r="G87" s="141">
        <f t="shared" ca="1" si="38"/>
        <v>2267.02</v>
      </c>
      <c r="H87" s="141">
        <f t="shared" ca="1" si="42"/>
        <v>-37.320000000000164</v>
      </c>
      <c r="I87" s="512">
        <f t="shared" ca="1" si="43"/>
        <v>-1.6195526701788869</v>
      </c>
      <c r="J87" s="141">
        <f t="shared" ca="1" si="41"/>
        <v>2267.02</v>
      </c>
      <c r="K87" s="141">
        <f t="shared" ca="1" si="39"/>
        <v>2338.41</v>
      </c>
      <c r="L87" s="141">
        <f t="shared" ca="1" si="44"/>
        <v>71.389999999999873</v>
      </c>
      <c r="M87" s="512">
        <f t="shared" ca="1" si="45"/>
        <v>3.1490679394094396</v>
      </c>
      <c r="N87" s="102" t="s">
        <v>406</v>
      </c>
      <c r="O87" s="90" t="s">
        <v>29</v>
      </c>
      <c r="P87" s="148" t="s">
        <v>5</v>
      </c>
      <c r="Q87" s="148" t="s">
        <v>195</v>
      </c>
      <c r="R87" s="173" t="s">
        <v>358</v>
      </c>
      <c r="S87" s="217">
        <f>S34*S64</f>
        <v>-1129.99</v>
      </c>
      <c r="T87" s="81"/>
      <c r="U87" s="158"/>
    </row>
    <row r="88" spans="1:21" s="140" customFormat="1">
      <c r="A88" s="227" t="s">
        <v>200</v>
      </c>
      <c r="B88" s="227" t="s">
        <v>525</v>
      </c>
      <c r="C88" s="327">
        <v>50</v>
      </c>
      <c r="D88" s="141">
        <v>700</v>
      </c>
      <c r="E88" s="141">
        <f t="shared" si="40"/>
        <v>35000</v>
      </c>
      <c r="F88" s="141">
        <f t="shared" si="37"/>
        <v>3090.34</v>
      </c>
      <c r="G88" s="141">
        <f t="shared" ca="1" si="38"/>
        <v>3056.2200000000003</v>
      </c>
      <c r="H88" s="141">
        <f t="shared" ca="1" si="42"/>
        <v>-34.119999999999891</v>
      </c>
      <c r="I88" s="512">
        <f t="shared" ca="1" si="43"/>
        <v>-1.1040856345903651</v>
      </c>
      <c r="J88" s="141">
        <f t="shared" ca="1" si="41"/>
        <v>3056.2200000000003</v>
      </c>
      <c r="K88" s="141">
        <f t="shared" ca="1" si="39"/>
        <v>3148.51</v>
      </c>
      <c r="L88" s="141">
        <f t="shared" ca="1" si="44"/>
        <v>92.289999999999964</v>
      </c>
      <c r="M88" s="512">
        <f t="shared" ca="1" si="45"/>
        <v>3.0197433430839387</v>
      </c>
      <c r="N88" s="102" t="s">
        <v>406</v>
      </c>
      <c r="O88" s="90" t="s">
        <v>29</v>
      </c>
      <c r="P88" s="148" t="s">
        <v>5</v>
      </c>
      <c r="Q88" s="148" t="s">
        <v>195</v>
      </c>
      <c r="R88" s="173" t="s">
        <v>368</v>
      </c>
      <c r="S88" s="217">
        <f>S35*S65</f>
        <v>7924</v>
      </c>
      <c r="T88" s="81"/>
      <c r="U88" s="158"/>
    </row>
    <row r="89" spans="1:21" s="140" customFormat="1">
      <c r="A89" s="227" t="s">
        <v>200</v>
      </c>
      <c r="B89" s="227" t="s">
        <v>525</v>
      </c>
      <c r="C89" s="327">
        <v>75</v>
      </c>
      <c r="D89" s="141">
        <v>300</v>
      </c>
      <c r="E89" s="141">
        <f t="shared" si="40"/>
        <v>22500</v>
      </c>
      <c r="F89" s="141">
        <f t="shared" si="37"/>
        <v>2229.09</v>
      </c>
      <c r="G89" s="141">
        <f t="shared" ca="1" si="38"/>
        <v>2190.9700000000003</v>
      </c>
      <c r="H89" s="141">
        <f t="shared" ca="1" si="42"/>
        <v>-38.119999999999891</v>
      </c>
      <c r="I89" s="512">
        <f t="shared" ca="1" si="43"/>
        <v>-1.7101148899326581</v>
      </c>
      <c r="J89" s="141">
        <f t="shared" ca="1" si="41"/>
        <v>2190.9700000000003</v>
      </c>
      <c r="K89" s="141">
        <f t="shared" ca="1" si="39"/>
        <v>2265.1350000000002</v>
      </c>
      <c r="L89" s="141">
        <f t="shared" ca="1" si="44"/>
        <v>74.164999999999964</v>
      </c>
      <c r="M89" s="512">
        <f t="shared" ca="1" si="45"/>
        <v>3.385030374674229</v>
      </c>
      <c r="N89" s="150" t="s">
        <v>406</v>
      </c>
      <c r="O89" s="265" t="s">
        <v>29</v>
      </c>
      <c r="P89" s="152" t="s">
        <v>5</v>
      </c>
      <c r="Q89" s="152" t="s">
        <v>195</v>
      </c>
      <c r="R89" s="216" t="s">
        <v>168</v>
      </c>
      <c r="S89" s="218">
        <f>Unbilled!E6</f>
        <v>753527.61020262272</v>
      </c>
      <c r="T89" s="81"/>
      <c r="U89" s="158"/>
    </row>
    <row r="90" spans="1:21" s="140" customFormat="1">
      <c r="A90" s="227" t="s">
        <v>200</v>
      </c>
      <c r="B90" s="227" t="s">
        <v>525</v>
      </c>
      <c r="C90" s="327">
        <v>75</v>
      </c>
      <c r="D90" s="141">
        <v>500</v>
      </c>
      <c r="E90" s="141">
        <f t="shared" si="40"/>
        <v>37500</v>
      </c>
      <c r="F90" s="141">
        <f t="shared" si="37"/>
        <v>3408.09</v>
      </c>
      <c r="G90" s="141">
        <f t="shared" ca="1" si="38"/>
        <v>3374.77</v>
      </c>
      <c r="H90" s="141">
        <f t="shared" ca="1" si="42"/>
        <v>-33.320000000000164</v>
      </c>
      <c r="I90" s="512">
        <f t="shared" ca="1" si="43"/>
        <v>-0.97767371166841732</v>
      </c>
      <c r="J90" s="141">
        <f t="shared" ca="1" si="41"/>
        <v>3374.77</v>
      </c>
      <c r="K90" s="141">
        <f t="shared" ca="1" si="39"/>
        <v>3480.2849999999999</v>
      </c>
      <c r="L90" s="141">
        <f t="shared" ca="1" si="44"/>
        <v>105.51499999999987</v>
      </c>
      <c r="M90" s="512">
        <f t="shared" ca="1" si="45"/>
        <v>3.1265834412419182</v>
      </c>
      <c r="N90" s="145" t="s">
        <v>406</v>
      </c>
      <c r="O90" s="264" t="s">
        <v>29</v>
      </c>
      <c r="P90" s="146" t="s">
        <v>7</v>
      </c>
      <c r="Q90" s="146" t="s">
        <v>199</v>
      </c>
      <c r="R90" s="146" t="s">
        <v>335</v>
      </c>
      <c r="S90" s="220">
        <f>S36*S52</f>
        <v>20356.298666666666</v>
      </c>
      <c r="T90" s="81"/>
      <c r="U90" s="158"/>
    </row>
    <row r="91" spans="1:21" s="140" customFormat="1">
      <c r="A91" s="227" t="s">
        <v>200</v>
      </c>
      <c r="B91" s="227" t="s">
        <v>525</v>
      </c>
      <c r="C91" s="327">
        <v>75</v>
      </c>
      <c r="D91" s="141">
        <v>700</v>
      </c>
      <c r="E91" s="141">
        <f t="shared" si="40"/>
        <v>52500</v>
      </c>
      <c r="F91" s="141">
        <f t="shared" si="37"/>
        <v>4587.09</v>
      </c>
      <c r="G91" s="141">
        <f t="shared" ca="1" si="38"/>
        <v>4558.57</v>
      </c>
      <c r="H91" s="141">
        <f t="shared" ca="1" si="42"/>
        <v>-28.520000000000437</v>
      </c>
      <c r="I91" s="512">
        <f t="shared" ca="1" si="43"/>
        <v>-0.62174494069225672</v>
      </c>
      <c r="J91" s="141">
        <f t="shared" ca="1" si="41"/>
        <v>4558.57</v>
      </c>
      <c r="K91" s="141">
        <f t="shared" ca="1" si="39"/>
        <v>4695.4350000000004</v>
      </c>
      <c r="L91" s="141">
        <f t="shared" ca="1" si="44"/>
        <v>136.86500000000069</v>
      </c>
      <c r="M91" s="512">
        <f t="shared" ca="1" si="45"/>
        <v>3.0023669703437856</v>
      </c>
      <c r="N91" s="102" t="s">
        <v>406</v>
      </c>
      <c r="O91" s="90" t="s">
        <v>29</v>
      </c>
      <c r="P91" s="148" t="s">
        <v>7</v>
      </c>
      <c r="Q91" s="148" t="s">
        <v>200</v>
      </c>
      <c r="R91" s="148" t="s">
        <v>335</v>
      </c>
      <c r="S91" s="217">
        <f>S37*S54</f>
        <v>41396.18</v>
      </c>
      <c r="T91" s="81"/>
      <c r="U91" s="158"/>
    </row>
    <row r="92" spans="1:21" s="140" customFormat="1">
      <c r="A92" s="227" t="s">
        <v>200</v>
      </c>
      <c r="B92" s="227" t="s">
        <v>525</v>
      </c>
      <c r="C92" s="327">
        <v>100</v>
      </c>
      <c r="D92" s="141">
        <v>300</v>
      </c>
      <c r="E92" s="141">
        <f t="shared" si="40"/>
        <v>30000</v>
      </c>
      <c r="F92" s="141">
        <f t="shared" si="37"/>
        <v>2939.84</v>
      </c>
      <c r="G92" s="141">
        <f t="shared" ca="1" si="38"/>
        <v>2904.1200000000003</v>
      </c>
      <c r="H92" s="141">
        <f t="shared" ca="1" si="42"/>
        <v>-35.7199999999998</v>
      </c>
      <c r="I92" s="512">
        <f t="shared" ca="1" si="43"/>
        <v>-1.2150321105910458</v>
      </c>
      <c r="J92" s="141">
        <f t="shared" ca="1" si="41"/>
        <v>2904.1200000000003</v>
      </c>
      <c r="K92" s="141">
        <f t="shared" ca="1" si="39"/>
        <v>3001.96</v>
      </c>
      <c r="L92" s="141">
        <f t="shared" ca="1" si="44"/>
        <v>97.839999999999691</v>
      </c>
      <c r="M92" s="512">
        <f t="shared" ca="1" si="45"/>
        <v>3.3690067903530045</v>
      </c>
      <c r="N92" s="102" t="s">
        <v>406</v>
      </c>
      <c r="O92" s="90" t="s">
        <v>29</v>
      </c>
      <c r="P92" s="148" t="s">
        <v>7</v>
      </c>
      <c r="Q92" s="148" t="s">
        <v>200</v>
      </c>
      <c r="R92" s="148" t="s">
        <v>336</v>
      </c>
      <c r="S92" s="217">
        <f>S38*S55</f>
        <v>176.4</v>
      </c>
      <c r="T92" s="81"/>
      <c r="U92" s="158"/>
    </row>
    <row r="93" spans="1:21" s="140" customFormat="1">
      <c r="A93" s="227" t="s">
        <v>200</v>
      </c>
      <c r="B93" s="227" t="s">
        <v>525</v>
      </c>
      <c r="C93" s="327">
        <v>100</v>
      </c>
      <c r="D93" s="141">
        <v>500</v>
      </c>
      <c r="E93" s="141">
        <f t="shared" si="40"/>
        <v>50000</v>
      </c>
      <c r="F93" s="141">
        <f t="shared" si="37"/>
        <v>4511.84</v>
      </c>
      <c r="G93" s="141">
        <f t="shared" ca="1" si="38"/>
        <v>4482.5200000000004</v>
      </c>
      <c r="H93" s="141">
        <f t="shared" ca="1" si="42"/>
        <v>-29.319999999999709</v>
      </c>
      <c r="I93" s="512">
        <f t="shared" ca="1" si="43"/>
        <v>-0.64984573921060385</v>
      </c>
      <c r="J93" s="141">
        <f t="shared" ca="1" si="41"/>
        <v>4482.5200000000004</v>
      </c>
      <c r="K93" s="141">
        <f t="shared" ca="1" si="39"/>
        <v>4622.16</v>
      </c>
      <c r="L93" s="141">
        <f t="shared" ca="1" si="44"/>
        <v>139.63999999999942</v>
      </c>
      <c r="M93" s="512">
        <f t="shared" ca="1" si="45"/>
        <v>3.1152119789760984</v>
      </c>
      <c r="N93" s="102" t="s">
        <v>406</v>
      </c>
      <c r="O93" s="90" t="s">
        <v>29</v>
      </c>
      <c r="P93" s="148" t="s">
        <v>7</v>
      </c>
      <c r="Q93" s="148" t="s">
        <v>195</v>
      </c>
      <c r="R93" s="148" t="s">
        <v>281</v>
      </c>
      <c r="S93" s="217">
        <f>S39*S56</f>
        <v>52588.87</v>
      </c>
      <c r="T93" s="81"/>
      <c r="U93" s="158"/>
    </row>
    <row r="94" spans="1:21" s="140" customFormat="1">
      <c r="A94" s="227" t="s">
        <v>200</v>
      </c>
      <c r="B94" s="227" t="s">
        <v>525</v>
      </c>
      <c r="C94" s="327">
        <v>100</v>
      </c>
      <c r="D94" s="141">
        <v>700</v>
      </c>
      <c r="E94" s="141">
        <f t="shared" si="40"/>
        <v>70000</v>
      </c>
      <c r="F94" s="141">
        <f t="shared" si="37"/>
        <v>6083.84</v>
      </c>
      <c r="G94" s="141">
        <f t="shared" ca="1" si="38"/>
        <v>6060.92</v>
      </c>
      <c r="H94" s="141">
        <f t="shared" ca="1" si="42"/>
        <v>-22.920000000000073</v>
      </c>
      <c r="I94" s="512">
        <f t="shared" ca="1" si="43"/>
        <v>-0.3767357458447308</v>
      </c>
      <c r="J94" s="141">
        <f t="shared" ca="1" si="41"/>
        <v>6060.92</v>
      </c>
      <c r="K94" s="141">
        <f t="shared" ca="1" si="39"/>
        <v>6242.36</v>
      </c>
      <c r="L94" s="141">
        <f t="shared" ca="1" si="44"/>
        <v>181.4399999999996</v>
      </c>
      <c r="M94" s="512">
        <f t="shared" ca="1" si="45"/>
        <v>2.9936049312645538</v>
      </c>
      <c r="N94" s="102" t="s">
        <v>406</v>
      </c>
      <c r="O94" s="90" t="s">
        <v>29</v>
      </c>
      <c r="P94" s="148" t="s">
        <v>7</v>
      </c>
      <c r="Q94" s="148" t="s">
        <v>195</v>
      </c>
      <c r="R94" s="148" t="s">
        <v>283</v>
      </c>
      <c r="S94" s="217">
        <f>S40*S57</f>
        <v>698.87635616438354</v>
      </c>
      <c r="T94" s="81"/>
      <c r="U94" s="158"/>
    </row>
    <row r="95" spans="1:21" s="140" customFormat="1">
      <c r="A95" s="402" t="s">
        <v>517</v>
      </c>
      <c r="B95" s="353"/>
      <c r="C95" s="353"/>
      <c r="D95" s="353"/>
      <c r="E95" s="353"/>
      <c r="F95" s="353"/>
      <c r="G95" s="353"/>
      <c r="H95" s="353"/>
      <c r="I95" s="523"/>
      <c r="J95" s="353"/>
      <c r="K95" s="353"/>
      <c r="L95" s="353"/>
      <c r="M95" s="526"/>
      <c r="N95" s="102" t="s">
        <v>406</v>
      </c>
      <c r="O95" s="90" t="s">
        <v>29</v>
      </c>
      <c r="P95" s="148" t="s">
        <v>7</v>
      </c>
      <c r="Q95" s="148" t="s">
        <v>195</v>
      </c>
      <c r="R95" s="148" t="s">
        <v>202</v>
      </c>
      <c r="S95" s="217">
        <f>S41*S58</f>
        <v>125179.59</v>
      </c>
      <c r="T95" s="81"/>
      <c r="U95" s="158"/>
    </row>
    <row r="96" spans="1:21" s="140" customFormat="1">
      <c r="A96" s="393" t="s">
        <v>518</v>
      </c>
      <c r="B96" s="143"/>
      <c r="C96" s="143"/>
      <c r="D96" s="143"/>
      <c r="E96" s="143"/>
      <c r="F96" s="143"/>
      <c r="G96" s="143"/>
      <c r="H96" s="143"/>
      <c r="I96" s="524"/>
      <c r="J96" s="143"/>
      <c r="K96" s="143"/>
      <c r="L96" s="143"/>
      <c r="M96" s="527"/>
      <c r="N96" s="102" t="s">
        <v>406</v>
      </c>
      <c r="O96" s="90" t="s">
        <v>29</v>
      </c>
      <c r="P96" s="148" t="s">
        <v>7</v>
      </c>
      <c r="Q96" s="148" t="s">
        <v>195</v>
      </c>
      <c r="R96" s="148" t="s">
        <v>197</v>
      </c>
      <c r="S96" s="217">
        <f>(S42+S43)*S59</f>
        <v>349666.46675750561</v>
      </c>
      <c r="T96" s="81"/>
      <c r="U96" s="158"/>
    </row>
    <row r="97" spans="1:25" s="140" customFormat="1">
      <c r="A97" s="338" t="s">
        <v>523</v>
      </c>
      <c r="B97" s="354"/>
      <c r="C97" s="354"/>
      <c r="D97" s="354"/>
      <c r="E97" s="354"/>
      <c r="F97" s="354"/>
      <c r="G97" s="354"/>
      <c r="H97" s="354"/>
      <c r="I97" s="525"/>
      <c r="J97" s="354"/>
      <c r="K97" s="354"/>
      <c r="L97" s="354"/>
      <c r="M97" s="528"/>
      <c r="N97" s="102" t="s">
        <v>406</v>
      </c>
      <c r="O97" s="90" t="s">
        <v>29</v>
      </c>
      <c r="P97" s="148" t="s">
        <v>7</v>
      </c>
      <c r="Q97" s="148" t="s">
        <v>195</v>
      </c>
      <c r="R97" s="148" t="s">
        <v>198</v>
      </c>
      <c r="S97" s="217">
        <f>(S44+S45)*S60</f>
        <v>728944.62783588108</v>
      </c>
      <c r="T97" s="81"/>
      <c r="U97" s="158"/>
    </row>
    <row r="98" spans="1:25" s="140" customFormat="1">
      <c r="A98" s="227" t="s">
        <v>200</v>
      </c>
      <c r="B98" s="227" t="s">
        <v>526</v>
      </c>
      <c r="C98" s="327">
        <v>15</v>
      </c>
      <c r="D98" s="141">
        <v>300</v>
      </c>
      <c r="E98" s="141">
        <f>C98*D98</f>
        <v>4500</v>
      </c>
      <c r="F98" s="141">
        <f t="shared" ref="F98:F112" si="46">SUMIFS(S$52:S$55,Q$52:Q$55,A98,R$52:R$55,"Bill")+(S$56+S$58)*C98+S$59*1000+IF(E98&lt;=9000,S$60*(E98-1000),S$60*8000+S$61*(E98-9000))</f>
        <v>499.84499999999997</v>
      </c>
      <c r="G98" s="141">
        <f t="shared" ref="G98:G112" ca="1" si="47">SUMIFS(S$115:S$118,Q$115:Q$118,A98,R$115:R$118,"Bill")+(S$119+S$121)*C98+IF(B98="Summer",S$122,IF(B98="Winter",S$123,AF$123))*1000+IF(B98="Summer",S$124,IF(B98="Winter",S$125,AF$125))*(E98-1000)</f>
        <v>494.61650537698716</v>
      </c>
      <c r="H98" s="141">
        <f t="shared" ref="H98:H112" ca="1" si="48">G98-F98</f>
        <v>-5.2284946230128071</v>
      </c>
      <c r="I98" s="512">
        <f t="shared" ref="I98:I112" ca="1" si="49">H98/F98*100</f>
        <v>-1.0460231917920171</v>
      </c>
      <c r="J98" s="141">
        <f ca="1">G98</f>
        <v>494.61650537698716</v>
      </c>
      <c r="K98" s="141">
        <f t="shared" ref="K98:K112" ca="1" si="50">SUMIFS(S$192:S$195,Q$192:Q$195,A98,R$192:R$195,"Bill")+(S$196+S$198)*C98+IF(B98="Summer",S$199,IF(B98="Winter",S$200,AF$200))*1000+IF(B98="Summer",S$201,IF(B98="Winter",S$202,AF$202))*(E98-1000)</f>
        <v>527.16602504345383</v>
      </c>
      <c r="L98" s="141">
        <f t="shared" ref="L98:L112" ca="1" si="51">K98-J98</f>
        <v>32.549519666466665</v>
      </c>
      <c r="M98" s="512">
        <f t="shared" ref="M98:M112" ca="1" si="52">L98/J98*100</f>
        <v>6.5807588935306649</v>
      </c>
      <c r="N98" s="102" t="s">
        <v>406</v>
      </c>
      <c r="O98" s="90" t="s">
        <v>29</v>
      </c>
      <c r="P98" s="148" t="s">
        <v>7</v>
      </c>
      <c r="Q98" s="148" t="s">
        <v>195</v>
      </c>
      <c r="R98" s="148" t="s">
        <v>282</v>
      </c>
      <c r="S98" s="217">
        <f>(S46+S47)*S61</f>
        <v>272568.06219331891</v>
      </c>
      <c r="T98" s="81"/>
      <c r="U98" s="158"/>
      <c r="V98" s="332"/>
      <c r="W98" s="343"/>
      <c r="X98" s="343"/>
      <c r="Y98" s="343"/>
    </row>
    <row r="99" spans="1:25" s="140" customFormat="1">
      <c r="A99" s="227" t="s">
        <v>200</v>
      </c>
      <c r="B99" s="227" t="s">
        <v>526</v>
      </c>
      <c r="C99" s="327">
        <v>15</v>
      </c>
      <c r="D99" s="141">
        <v>500</v>
      </c>
      <c r="E99" s="141">
        <f t="shared" ref="E99:E112" si="53">C99*D99</f>
        <v>7500</v>
      </c>
      <c r="F99" s="141">
        <f t="shared" si="46"/>
        <v>751.27499999999998</v>
      </c>
      <c r="G99" s="141">
        <f t="shared" ca="1" si="47"/>
        <v>741.51205960313575</v>
      </c>
      <c r="H99" s="141">
        <f t="shared" ca="1" si="48"/>
        <v>-9.7629403968642237</v>
      </c>
      <c r="I99" s="512">
        <f t="shared" ca="1" si="49"/>
        <v>-1.2995162086937839</v>
      </c>
      <c r="J99" s="141">
        <f t="shared" ref="J99:J112" ca="1" si="54">G99</f>
        <v>741.51205960313575</v>
      </c>
      <c r="K99" s="141">
        <f t="shared" ca="1" si="50"/>
        <v>790.47160134161197</v>
      </c>
      <c r="L99" s="141">
        <f t="shared" ca="1" si="51"/>
        <v>48.959541738476219</v>
      </c>
      <c r="M99" s="512">
        <f t="shared" ca="1" si="52"/>
        <v>6.6026629107933621</v>
      </c>
      <c r="N99" s="102" t="s">
        <v>406</v>
      </c>
      <c r="O99" s="90" t="s">
        <v>29</v>
      </c>
      <c r="P99" s="148" t="s">
        <v>7</v>
      </c>
      <c r="Q99" s="148" t="s">
        <v>195</v>
      </c>
      <c r="R99" s="148" t="s">
        <v>201</v>
      </c>
      <c r="S99" s="217">
        <f>S48*S62</f>
        <v>8380.4699999999993</v>
      </c>
      <c r="T99" s="81"/>
      <c r="U99" s="158"/>
      <c r="V99" s="332"/>
      <c r="W99" s="343"/>
      <c r="X99" s="143"/>
      <c r="Y99" s="143"/>
    </row>
    <row r="100" spans="1:25" s="140" customFormat="1">
      <c r="A100" s="227" t="s">
        <v>200</v>
      </c>
      <c r="B100" s="227" t="s">
        <v>526</v>
      </c>
      <c r="C100" s="327">
        <v>15</v>
      </c>
      <c r="D100" s="141">
        <v>700</v>
      </c>
      <c r="E100" s="141">
        <f t="shared" si="53"/>
        <v>10500</v>
      </c>
      <c r="F100" s="141">
        <f t="shared" si="46"/>
        <v>994.89</v>
      </c>
      <c r="G100" s="141">
        <f t="shared" ca="1" si="47"/>
        <v>988.40761382928429</v>
      </c>
      <c r="H100" s="141">
        <f t="shared" ca="1" si="48"/>
        <v>-6.4823861707156993</v>
      </c>
      <c r="I100" s="512">
        <f t="shared" ca="1" si="49"/>
        <v>-0.65156813021697868</v>
      </c>
      <c r="J100" s="141">
        <f t="shared" ca="1" si="54"/>
        <v>988.40761382928429</v>
      </c>
      <c r="K100" s="141">
        <f t="shared" ca="1" si="50"/>
        <v>1053.7771776397701</v>
      </c>
      <c r="L100" s="141">
        <f t="shared" ca="1" si="51"/>
        <v>65.369563810485829</v>
      </c>
      <c r="M100" s="512">
        <f t="shared" ca="1" si="52"/>
        <v>6.613624065200324</v>
      </c>
      <c r="N100" s="102" t="s">
        <v>406</v>
      </c>
      <c r="O100" s="90" t="s">
        <v>29</v>
      </c>
      <c r="P100" s="148" t="s">
        <v>7</v>
      </c>
      <c r="Q100" s="148" t="s">
        <v>195</v>
      </c>
      <c r="R100" s="173" t="s">
        <v>367</v>
      </c>
      <c r="S100" s="217">
        <f>S49*S63</f>
        <v>-119.42</v>
      </c>
      <c r="T100" s="81"/>
      <c r="W100" s="439"/>
      <c r="X100" s="164"/>
      <c r="Y100" s="158"/>
    </row>
    <row r="101" spans="1:25" s="140" customFormat="1">
      <c r="A101" s="227" t="s">
        <v>200</v>
      </c>
      <c r="B101" s="227" t="s">
        <v>526</v>
      </c>
      <c r="C101" s="327">
        <v>25</v>
      </c>
      <c r="D101" s="141">
        <v>300</v>
      </c>
      <c r="E101" s="141">
        <f t="shared" si="53"/>
        <v>7500</v>
      </c>
      <c r="F101" s="141">
        <f t="shared" si="46"/>
        <v>799.77499999999998</v>
      </c>
      <c r="G101" s="141">
        <f t="shared" ca="1" si="47"/>
        <v>790.01205960313575</v>
      </c>
      <c r="H101" s="141">
        <f t="shared" ca="1" si="48"/>
        <v>-9.7629403968642237</v>
      </c>
      <c r="I101" s="512">
        <f t="shared" ca="1" si="49"/>
        <v>-1.2207108745414927</v>
      </c>
      <c r="J101" s="141">
        <f t="shared" ca="1" si="54"/>
        <v>790.01205960313575</v>
      </c>
      <c r="K101" s="141">
        <f t="shared" ca="1" si="50"/>
        <v>842.17160134161202</v>
      </c>
      <c r="L101" s="141">
        <f t="shared" ca="1" si="51"/>
        <v>52.159541738476264</v>
      </c>
      <c r="M101" s="512">
        <f t="shared" ca="1" si="52"/>
        <v>6.6023728504446781</v>
      </c>
      <c r="N101" s="102" t="s">
        <v>406</v>
      </c>
      <c r="O101" s="90" t="s">
        <v>29</v>
      </c>
      <c r="P101" s="148" t="s">
        <v>7</v>
      </c>
      <c r="Q101" s="148" t="s">
        <v>195</v>
      </c>
      <c r="R101" s="173" t="s">
        <v>358</v>
      </c>
      <c r="S101" s="217">
        <f>S50*S64</f>
        <v>-146.76</v>
      </c>
      <c r="T101" s="81"/>
      <c r="W101" s="361"/>
      <c r="X101" s="143"/>
      <c r="Y101" s="143"/>
    </row>
    <row r="102" spans="1:25" s="140" customFormat="1">
      <c r="A102" s="227" t="s">
        <v>200</v>
      </c>
      <c r="B102" s="227" t="s">
        <v>526</v>
      </c>
      <c r="C102" s="327">
        <v>25</v>
      </c>
      <c r="D102" s="141">
        <v>500</v>
      </c>
      <c r="E102" s="141">
        <f t="shared" si="53"/>
        <v>12500</v>
      </c>
      <c r="F102" s="141">
        <f t="shared" si="46"/>
        <v>1200.5900000000001</v>
      </c>
      <c r="G102" s="141">
        <f t="shared" ca="1" si="47"/>
        <v>1201.5046499800501</v>
      </c>
      <c r="H102" s="141">
        <f t="shared" ca="1" si="48"/>
        <v>0.91464998004994413</v>
      </c>
      <c r="I102" s="512">
        <f t="shared" ca="1" si="49"/>
        <v>7.6183374844863275E-2</v>
      </c>
      <c r="J102" s="141">
        <f t="shared" ca="1" si="54"/>
        <v>1201.5046499800501</v>
      </c>
      <c r="K102" s="141">
        <f t="shared" ca="1" si="50"/>
        <v>1281.0142285052088</v>
      </c>
      <c r="L102" s="141">
        <f t="shared" ca="1" si="51"/>
        <v>79.509578525158759</v>
      </c>
      <c r="M102" s="512">
        <f t="shared" ca="1" si="52"/>
        <v>6.6175006918599069</v>
      </c>
      <c r="N102" s="102" t="s">
        <v>406</v>
      </c>
      <c r="O102" s="90" t="s">
        <v>29</v>
      </c>
      <c r="P102" s="148" t="s">
        <v>7</v>
      </c>
      <c r="Q102" s="148" t="s">
        <v>195</v>
      </c>
      <c r="R102" s="173" t="s">
        <v>368</v>
      </c>
      <c r="S102" s="217">
        <f>S51*S65</f>
        <v>1556</v>
      </c>
      <c r="T102" s="81"/>
    </row>
    <row r="103" spans="1:25" s="140" customFormat="1">
      <c r="A103" s="227" t="s">
        <v>200</v>
      </c>
      <c r="B103" s="227" t="s">
        <v>526</v>
      </c>
      <c r="C103" s="327">
        <v>25</v>
      </c>
      <c r="D103" s="141">
        <v>700</v>
      </c>
      <c r="E103" s="141">
        <f t="shared" si="53"/>
        <v>17500</v>
      </c>
      <c r="F103" s="141">
        <f t="shared" si="46"/>
        <v>1593.59</v>
      </c>
      <c r="G103" s="141">
        <f t="shared" ca="1" si="47"/>
        <v>1612.9972403569641</v>
      </c>
      <c r="H103" s="141">
        <f t="shared" ca="1" si="48"/>
        <v>19.407240356964166</v>
      </c>
      <c r="I103" s="512">
        <f t="shared" ca="1" si="49"/>
        <v>1.217831459595264</v>
      </c>
      <c r="J103" s="141">
        <f t="shared" ca="1" si="54"/>
        <v>1612.9972403569641</v>
      </c>
      <c r="K103" s="141">
        <f t="shared" ca="1" si="50"/>
        <v>1719.8568556688058</v>
      </c>
      <c r="L103" s="141">
        <f t="shared" ca="1" si="51"/>
        <v>106.85961531184171</v>
      </c>
      <c r="M103" s="512">
        <f t="shared" ca="1" si="52"/>
        <v>6.6249099898145616</v>
      </c>
      <c r="N103" s="150" t="s">
        <v>406</v>
      </c>
      <c r="O103" s="265" t="s">
        <v>29</v>
      </c>
      <c r="P103" s="152" t="s">
        <v>7</v>
      </c>
      <c r="Q103" s="152" t="s">
        <v>195</v>
      </c>
      <c r="R103" s="216" t="s">
        <v>168</v>
      </c>
      <c r="S103" s="218">
        <f>Unbilled!E7</f>
        <v>30849.452456491777</v>
      </c>
      <c r="T103" s="81"/>
    </row>
    <row r="104" spans="1:25">
      <c r="A104" s="227" t="s">
        <v>200</v>
      </c>
      <c r="B104" s="227" t="s">
        <v>526</v>
      </c>
      <c r="C104" s="327">
        <v>50</v>
      </c>
      <c r="D104" s="141">
        <v>300</v>
      </c>
      <c r="E104" s="141">
        <f t="shared" si="53"/>
        <v>15000</v>
      </c>
      <c r="F104" s="141">
        <f t="shared" si="46"/>
        <v>1518.34</v>
      </c>
      <c r="G104" s="141">
        <f t="shared" ca="1" si="47"/>
        <v>1528.5009451685073</v>
      </c>
      <c r="H104" s="141">
        <f t="shared" ca="1" si="48"/>
        <v>10.160945168507396</v>
      </c>
      <c r="I104" s="512">
        <f t="shared" ca="1" si="49"/>
        <v>0.66921408699681206</v>
      </c>
      <c r="J104" s="141">
        <f t="shared" ca="1" si="54"/>
        <v>1528.5009451685073</v>
      </c>
      <c r="K104" s="141">
        <f t="shared" ca="1" si="50"/>
        <v>1629.6855420870074</v>
      </c>
      <c r="L104" s="141">
        <f t="shared" ca="1" si="51"/>
        <v>101.18459691850012</v>
      </c>
      <c r="M104" s="512">
        <f t="shared" ca="1" si="52"/>
        <v>6.6198583153211716</v>
      </c>
      <c r="N104" s="309" t="s">
        <v>536</v>
      </c>
      <c r="O104" s="264" t="s">
        <v>29</v>
      </c>
      <c r="P104" s="219" t="s">
        <v>195</v>
      </c>
      <c r="Q104" s="219" t="s">
        <v>195</v>
      </c>
      <c r="R104" s="219" t="s">
        <v>195</v>
      </c>
      <c r="S104" s="220">
        <f ca="1">'Cost of Service and Proposed $'!M123</f>
        <v>3077009.2043812028</v>
      </c>
      <c r="U104" s="81"/>
      <c r="V104" s="159"/>
    </row>
    <row r="105" spans="1:25">
      <c r="A105" s="227" t="s">
        <v>200</v>
      </c>
      <c r="B105" s="227" t="s">
        <v>526</v>
      </c>
      <c r="C105" s="327">
        <v>50</v>
      </c>
      <c r="D105" s="141">
        <v>500</v>
      </c>
      <c r="E105" s="141">
        <f t="shared" si="53"/>
        <v>25000</v>
      </c>
      <c r="F105" s="141">
        <f t="shared" si="46"/>
        <v>2304.34</v>
      </c>
      <c r="G105" s="141">
        <f t="shared" ca="1" si="47"/>
        <v>2351.4861259223358</v>
      </c>
      <c r="H105" s="141">
        <f t="shared" ca="1" si="48"/>
        <v>47.146125922335614</v>
      </c>
      <c r="I105" s="512">
        <f t="shared" ca="1" si="49"/>
        <v>2.0459709037006522</v>
      </c>
      <c r="J105" s="141">
        <f t="shared" ca="1" si="54"/>
        <v>2351.4861259223358</v>
      </c>
      <c r="K105" s="141">
        <f t="shared" ca="1" si="50"/>
        <v>2507.3707964142013</v>
      </c>
      <c r="L105" s="141">
        <f t="shared" ca="1" si="51"/>
        <v>155.88467049186556</v>
      </c>
      <c r="M105" s="512">
        <f t="shared" ca="1" si="52"/>
        <v>6.6291979686132363</v>
      </c>
      <c r="N105" s="310" t="s">
        <v>625</v>
      </c>
      <c r="O105" s="265" t="s">
        <v>29</v>
      </c>
      <c r="P105" s="216" t="s">
        <v>195</v>
      </c>
      <c r="Q105" s="216" t="s">
        <v>195</v>
      </c>
      <c r="R105" s="216" t="s">
        <v>195</v>
      </c>
      <c r="S105" s="218">
        <f ca="1">'Cost of Service and Proposed $'!M128-'Cost of Service and Proposed $'!M123</f>
        <v>54822787.718057379</v>
      </c>
      <c r="U105" s="81"/>
      <c r="V105" s="159"/>
    </row>
    <row r="106" spans="1:25">
      <c r="A106" s="227" t="s">
        <v>200</v>
      </c>
      <c r="B106" s="227" t="s">
        <v>526</v>
      </c>
      <c r="C106" s="327">
        <v>50</v>
      </c>
      <c r="D106" s="141">
        <v>700</v>
      </c>
      <c r="E106" s="141">
        <f t="shared" si="53"/>
        <v>35000</v>
      </c>
      <c r="F106" s="141">
        <f t="shared" si="46"/>
        <v>3090.34</v>
      </c>
      <c r="G106" s="141">
        <f t="shared" ca="1" si="47"/>
        <v>3174.4713066761642</v>
      </c>
      <c r="H106" s="141">
        <f t="shared" ca="1" si="48"/>
        <v>84.131306676164058</v>
      </c>
      <c r="I106" s="512">
        <f t="shared" ca="1" si="49"/>
        <v>2.7223964572236081</v>
      </c>
      <c r="J106" s="141">
        <f t="shared" ca="1" si="54"/>
        <v>3174.4713066761642</v>
      </c>
      <c r="K106" s="141">
        <f t="shared" ca="1" si="50"/>
        <v>3385.0560507413948</v>
      </c>
      <c r="L106" s="141">
        <f t="shared" ca="1" si="51"/>
        <v>210.58474406523055</v>
      </c>
      <c r="M106" s="512">
        <f t="shared" ca="1" si="52"/>
        <v>6.6336949911109349</v>
      </c>
      <c r="N106" s="328" t="s">
        <v>534</v>
      </c>
      <c r="O106" s="331" t="s">
        <v>29</v>
      </c>
      <c r="P106" s="219" t="s">
        <v>195</v>
      </c>
      <c r="Q106" s="219" t="s">
        <v>195</v>
      </c>
      <c r="R106" s="219" t="s">
        <v>335</v>
      </c>
      <c r="S106" s="220">
        <f t="shared" ref="S106:S114" ca="1" si="55">(T106*(U106-V106)+V106*100)/100</f>
        <v>2823363.4114157879</v>
      </c>
      <c r="T106" s="593">
        <v>10</v>
      </c>
      <c r="U106" s="158">
        <f ca="1">S104*(1-SUM(U110:U114)/SUM(S104:S105))</f>
        <v>3026215.4263007892</v>
      </c>
      <c r="V106" s="140" cm="1">
        <f t="array" aca="1" ref="V106" ca="1">SUM(SUMIFS(S$66:S$103,R$66:R$103,{"Bill","Annual Bill"}))/SUM(SUMIFS(S$66:S$103,R$66:R$103,{"Bill","Annual Bill","Load Size kW","Annual Load Size kW","kW","kWh*"}))*(SUM(S104:S105)-SUM(V110:V114))</f>
        <v>2800824.2986507881</v>
      </c>
      <c r="W106" s="140"/>
    </row>
    <row r="107" spans="1:25">
      <c r="A107" s="227" t="s">
        <v>200</v>
      </c>
      <c r="B107" s="227" t="s">
        <v>526</v>
      </c>
      <c r="C107" s="327">
        <v>75</v>
      </c>
      <c r="D107" s="141">
        <v>300</v>
      </c>
      <c r="E107" s="141">
        <f t="shared" si="53"/>
        <v>22500</v>
      </c>
      <c r="F107" s="141">
        <f t="shared" si="46"/>
        <v>2229.09</v>
      </c>
      <c r="G107" s="141">
        <f t="shared" ca="1" si="47"/>
        <v>2266.9898307338785</v>
      </c>
      <c r="H107" s="141">
        <f t="shared" ca="1" si="48"/>
        <v>37.899830733878389</v>
      </c>
      <c r="I107" s="512">
        <f t="shared" ca="1" si="49"/>
        <v>1.7002377981094701</v>
      </c>
      <c r="J107" s="141">
        <f t="shared" ca="1" si="54"/>
        <v>2266.9898307338785</v>
      </c>
      <c r="K107" s="141">
        <f t="shared" ca="1" si="50"/>
        <v>2417.1994828324027</v>
      </c>
      <c r="L107" s="141">
        <f t="shared" ca="1" si="51"/>
        <v>150.2096520985242</v>
      </c>
      <c r="M107" s="512">
        <f t="shared" ca="1" si="52"/>
        <v>6.6259517383850701</v>
      </c>
      <c r="N107" s="329" t="s">
        <v>534</v>
      </c>
      <c r="O107" s="302" t="s">
        <v>29</v>
      </c>
      <c r="P107" s="215" t="s">
        <v>195</v>
      </c>
      <c r="Q107" s="215" t="s">
        <v>195</v>
      </c>
      <c r="R107" s="215" t="s">
        <v>281</v>
      </c>
      <c r="S107" s="217">
        <f t="shared" ca="1" si="55"/>
        <v>1337788.9438998753</v>
      </c>
      <c r="T107" s="594">
        <f>T$106</f>
        <v>10</v>
      </c>
      <c r="U107" s="158" cm="1">
        <f t="array" aca="1" ref="U107" ca="1">S105*SUM(SUMIFS(S$66:S$103,R$66:R$103,{"Load Size kW","Annual Load Size kW"}))/SUM(SUMIFS(S$66:S$103,R$66:R$103,{"Load Size kW","Annual Load Size kW","kW","kWh*"}))*(1-SUM(U110:U114)/SUM(S104:S105))</f>
        <v>1332774.7178281934</v>
      </c>
      <c r="V107" s="140" cm="1">
        <f t="array" aca="1" ref="V107" ca="1">SUM(SUMIFS(S$66:S$103,R$66:R$103,{"Load Size kW","Annual Load Size kW"}))/SUM(SUMIFS(S$66:S$103,R$66:R$103,{"Bill","Annual Bill","Load Size kW","Annual Load Size kW","kW","kWh*"}))*(SUM(S104:S105)-SUM(V110:V114))</f>
        <v>1338346.0801300621</v>
      </c>
    </row>
    <row r="108" spans="1:25">
      <c r="A108" s="227" t="s">
        <v>200</v>
      </c>
      <c r="B108" s="227" t="s">
        <v>526</v>
      </c>
      <c r="C108" s="327">
        <v>75</v>
      </c>
      <c r="D108" s="141">
        <v>500</v>
      </c>
      <c r="E108" s="141">
        <f t="shared" si="53"/>
        <v>37500</v>
      </c>
      <c r="F108" s="141">
        <f t="shared" si="46"/>
        <v>3408.09</v>
      </c>
      <c r="G108" s="141">
        <f t="shared" ca="1" si="47"/>
        <v>3501.467601864621</v>
      </c>
      <c r="H108" s="141">
        <f t="shared" ca="1" si="48"/>
        <v>93.377601864620829</v>
      </c>
      <c r="I108" s="512">
        <f t="shared" ca="1" si="49"/>
        <v>2.7398807503505136</v>
      </c>
      <c r="J108" s="141">
        <f t="shared" ca="1" si="54"/>
        <v>3501.467601864621</v>
      </c>
      <c r="K108" s="141">
        <f t="shared" ca="1" si="50"/>
        <v>3733.7273643231938</v>
      </c>
      <c r="L108" s="141">
        <f t="shared" ca="1" si="51"/>
        <v>232.25976245857282</v>
      </c>
      <c r="M108" s="512">
        <f t="shared" ca="1" si="52"/>
        <v>6.6332118090965215</v>
      </c>
      <c r="N108" s="329" t="s">
        <v>534</v>
      </c>
      <c r="O108" s="302" t="s">
        <v>29</v>
      </c>
      <c r="P108" s="215" t="s">
        <v>195</v>
      </c>
      <c r="Q108" s="215" t="s">
        <v>195</v>
      </c>
      <c r="R108" s="215" t="s">
        <v>202</v>
      </c>
      <c r="S108" s="217">
        <f t="shared" ca="1" si="55"/>
        <v>2898806.5670915609</v>
      </c>
      <c r="T108" s="594">
        <f t="shared" ref="T108:T114" si="56">T$106</f>
        <v>10</v>
      </c>
      <c r="U108" s="158" cm="1">
        <f t="array" aca="1" ref="U108" ca="1">S105*SUM(SUMIFS(S$66:S$103,R$66:R$103,{"kW"}))/SUM(SUMIFS(S$66:S$103,R$66:R$103,{"Load Size kW","Annual Load Size kW","kW","kWh*"}))*(1-SUM(U110:U114)/SUM(S104:S105))</f>
        <v>2887941.4216351337</v>
      </c>
      <c r="V108" s="140" cm="1">
        <f t="array" aca="1" ref="V108" ca="1">SUM(SUMIFS(S$66:S$103,R$66:R$103,{"kW"}))/SUM(SUMIFS(S$66:S$103,R$66:R$103,{"Bill","Annual Bill","Load Size kW","Annual Load Size kW","kW","kWh*"}))*(SUM(S104:S105)-SUM(V110:V114))</f>
        <v>2900013.8054756089</v>
      </c>
    </row>
    <row r="109" spans="1:25">
      <c r="A109" s="227" t="s">
        <v>200</v>
      </c>
      <c r="B109" s="227" t="s">
        <v>526</v>
      </c>
      <c r="C109" s="327">
        <v>75</v>
      </c>
      <c r="D109" s="141">
        <v>700</v>
      </c>
      <c r="E109" s="141">
        <f t="shared" si="53"/>
        <v>52500</v>
      </c>
      <c r="F109" s="141">
        <f t="shared" si="46"/>
        <v>4587.09</v>
      </c>
      <c r="G109" s="141">
        <f t="shared" ca="1" si="47"/>
        <v>4735.9453729953639</v>
      </c>
      <c r="H109" s="141">
        <f t="shared" ca="1" si="48"/>
        <v>148.85537299536372</v>
      </c>
      <c r="I109" s="512">
        <f t="shared" ca="1" si="49"/>
        <v>3.245093795747712</v>
      </c>
      <c r="J109" s="141">
        <f t="shared" ca="1" si="54"/>
        <v>4735.9453729953639</v>
      </c>
      <c r="K109" s="141">
        <f t="shared" ca="1" si="50"/>
        <v>5050.2552458139844</v>
      </c>
      <c r="L109" s="141">
        <f t="shared" ca="1" si="51"/>
        <v>314.30987281862053</v>
      </c>
      <c r="M109" s="512">
        <f t="shared" ca="1" si="52"/>
        <v>6.6366870405818803</v>
      </c>
      <c r="N109" s="329" t="s">
        <v>534</v>
      </c>
      <c r="O109" s="302" t="s">
        <v>29</v>
      </c>
      <c r="P109" s="215" t="s">
        <v>195</v>
      </c>
      <c r="Q109" s="215" t="s">
        <v>195</v>
      </c>
      <c r="R109" s="215" t="s">
        <v>6</v>
      </c>
      <c r="S109" s="217">
        <f t="shared" ca="1" si="55"/>
        <v>49884056.187096938</v>
      </c>
      <c r="T109" s="594">
        <f t="shared" si="56"/>
        <v>10</v>
      </c>
      <c r="U109" s="158" cm="1">
        <f t="array" aca="1" ref="U109" ca="1">S105*SUM(SUMIFS(S$66:S$103,R$66:R$103,{"kWh*"}))/SUM(SUMIFS(S$66:S$103,R$66:R$103,{"Load Size kW","Annual Load Size kW","kW","kWh*"}))*(1-SUM(U110:U114)/SUM(S104:S105))</f>
        <v>49697083.543740049</v>
      </c>
      <c r="V109" s="140" cm="1">
        <f t="array" aca="1" ref="V109" ca="1">SUM(SUMIFS(S$66:S$103,R$66:R$103,{"kWh*"}))/SUM(SUMIFS(S$66:S$103,R$66:R$103,{"Bill","Annual Bill","Load Size kW","Annual Load Size kW","kW","kWh*"}))*(SUM(S104:S105)-SUM(V110:V114))</f>
        <v>49904830.925247706</v>
      </c>
      <c r="W109" s="344"/>
      <c r="X109" s="408"/>
    </row>
    <row r="110" spans="1:25">
      <c r="A110" s="227" t="s">
        <v>200</v>
      </c>
      <c r="B110" s="227" t="s">
        <v>526</v>
      </c>
      <c r="C110" s="327">
        <v>100</v>
      </c>
      <c r="D110" s="141">
        <v>300</v>
      </c>
      <c r="E110" s="141">
        <f t="shared" si="53"/>
        <v>30000</v>
      </c>
      <c r="F110" s="141">
        <f t="shared" si="46"/>
        <v>2939.84</v>
      </c>
      <c r="G110" s="141">
        <f t="shared" ca="1" si="47"/>
        <v>3005.4787162992498</v>
      </c>
      <c r="H110" s="141">
        <f t="shared" ca="1" si="48"/>
        <v>65.638716299249609</v>
      </c>
      <c r="I110" s="512">
        <f t="shared" ca="1" si="49"/>
        <v>2.2327309070986723</v>
      </c>
      <c r="J110" s="141">
        <f t="shared" ca="1" si="54"/>
        <v>3005.4787162992498</v>
      </c>
      <c r="K110" s="141">
        <f t="shared" ca="1" si="50"/>
        <v>3204.7134235777985</v>
      </c>
      <c r="L110" s="141">
        <f t="shared" ca="1" si="51"/>
        <v>199.23470727854874</v>
      </c>
      <c r="M110" s="512">
        <f t="shared" ca="1" si="52"/>
        <v>6.629050679948695</v>
      </c>
      <c r="N110" s="329" t="s">
        <v>534</v>
      </c>
      <c r="O110" s="302" t="s">
        <v>29</v>
      </c>
      <c r="P110" s="215" t="s">
        <v>195</v>
      </c>
      <c r="Q110" s="215" t="s">
        <v>195</v>
      </c>
      <c r="R110" s="148" t="s">
        <v>201</v>
      </c>
      <c r="S110" s="217">
        <f t="shared" si="55"/>
        <v>71615.829999999987</v>
      </c>
      <c r="T110" s="594">
        <f t="shared" si="56"/>
        <v>10</v>
      </c>
      <c r="U110" s="158">
        <f>SUMIFS(S$66:S$103,R$66:R$103,R110)</f>
        <v>71615.829999999987</v>
      </c>
      <c r="V110" s="140">
        <f>SUMIFS(S$66:S$103,R$66:R$103,R110)</f>
        <v>71615.829999999987</v>
      </c>
      <c r="W110" s="344"/>
      <c r="X110" s="408"/>
    </row>
    <row r="111" spans="1:25">
      <c r="A111" s="227" t="s">
        <v>200</v>
      </c>
      <c r="B111" s="227" t="s">
        <v>526</v>
      </c>
      <c r="C111" s="327">
        <v>100</v>
      </c>
      <c r="D111" s="141">
        <v>500</v>
      </c>
      <c r="E111" s="141">
        <f t="shared" si="53"/>
        <v>50000</v>
      </c>
      <c r="F111" s="141">
        <f t="shared" si="46"/>
        <v>4511.84</v>
      </c>
      <c r="G111" s="141">
        <f t="shared" ca="1" si="47"/>
        <v>4651.4490778069066</v>
      </c>
      <c r="H111" s="141">
        <f t="shared" ca="1" si="48"/>
        <v>139.6090778069065</v>
      </c>
      <c r="I111" s="512">
        <f t="shared" ca="1" si="49"/>
        <v>3.0942825500661923</v>
      </c>
      <c r="J111" s="141">
        <f t="shared" ca="1" si="54"/>
        <v>4651.4490778069066</v>
      </c>
      <c r="K111" s="141">
        <f t="shared" ca="1" si="50"/>
        <v>4960.0839322321863</v>
      </c>
      <c r="L111" s="141">
        <f t="shared" ca="1" si="51"/>
        <v>308.63485442527963</v>
      </c>
      <c r="M111" s="512">
        <f t="shared" ca="1" si="52"/>
        <v>6.635240959593534</v>
      </c>
      <c r="N111" s="329" t="s">
        <v>534</v>
      </c>
      <c r="O111" s="302" t="s">
        <v>29</v>
      </c>
      <c r="P111" s="215" t="s">
        <v>195</v>
      </c>
      <c r="Q111" s="215" t="s">
        <v>195</v>
      </c>
      <c r="R111" s="173" t="s">
        <v>367</v>
      </c>
      <c r="S111" s="217">
        <f t="shared" si="55"/>
        <v>-1163.3600000000001</v>
      </c>
      <c r="T111" s="594">
        <f t="shared" si="56"/>
        <v>10</v>
      </c>
      <c r="U111" s="158">
        <f t="shared" ref="U111:U114" si="57">SUMIFS(S$66:S$103,R$66:R$103,R111)</f>
        <v>-1163.3600000000001</v>
      </c>
      <c r="V111" s="140">
        <f>SUMIFS(S$66:S$103,R$66:R$103,R111)</f>
        <v>-1163.3600000000001</v>
      </c>
      <c r="W111" s="344"/>
      <c r="X111" s="408"/>
    </row>
    <row r="112" spans="1:25">
      <c r="A112" s="227" t="s">
        <v>200</v>
      </c>
      <c r="B112" s="227" t="s">
        <v>526</v>
      </c>
      <c r="C112" s="327">
        <v>100</v>
      </c>
      <c r="D112" s="141">
        <v>700</v>
      </c>
      <c r="E112" s="141">
        <f t="shared" si="53"/>
        <v>70000</v>
      </c>
      <c r="F112" s="141">
        <f t="shared" si="46"/>
        <v>6083.84</v>
      </c>
      <c r="G112" s="141">
        <f t="shared" ca="1" si="47"/>
        <v>6297.4194393145635</v>
      </c>
      <c r="H112" s="141">
        <f t="shared" ca="1" si="48"/>
        <v>213.57943931456339</v>
      </c>
      <c r="I112" s="512">
        <f t="shared" ca="1" si="49"/>
        <v>3.5106025029350438</v>
      </c>
      <c r="J112" s="141">
        <f t="shared" ca="1" si="54"/>
        <v>6297.4194393145635</v>
      </c>
      <c r="K112" s="141">
        <f t="shared" ca="1" si="50"/>
        <v>6715.454440886574</v>
      </c>
      <c r="L112" s="141">
        <f t="shared" ca="1" si="51"/>
        <v>418.03500157201051</v>
      </c>
      <c r="M112" s="512">
        <f t="shared" ca="1" si="52"/>
        <v>6.6381953052425402</v>
      </c>
      <c r="N112" s="329" t="s">
        <v>534</v>
      </c>
      <c r="O112" s="302" t="s">
        <v>29</v>
      </c>
      <c r="P112" s="215" t="s">
        <v>195</v>
      </c>
      <c r="Q112" s="215" t="s">
        <v>195</v>
      </c>
      <c r="R112" s="173" t="s">
        <v>358</v>
      </c>
      <c r="S112" s="217">
        <f t="shared" si="55"/>
        <v>-1276.75</v>
      </c>
      <c r="T112" s="594">
        <f t="shared" si="56"/>
        <v>10</v>
      </c>
      <c r="U112" s="158">
        <f t="shared" si="57"/>
        <v>-1276.75</v>
      </c>
      <c r="V112" s="140">
        <f>SUMIFS(S$66:S$103,R$66:R$103,R112)</f>
        <v>-1276.75</v>
      </c>
      <c r="W112" s="344"/>
      <c r="X112" s="408"/>
    </row>
    <row r="113" spans="1:32">
      <c r="A113" s="402" t="s">
        <v>517</v>
      </c>
      <c r="B113" s="353"/>
      <c r="C113" s="353"/>
      <c r="D113" s="353"/>
      <c r="E113" s="353"/>
      <c r="F113" s="353"/>
      <c r="G113" s="353"/>
      <c r="H113" s="353"/>
      <c r="I113" s="353"/>
      <c r="J113" s="353"/>
      <c r="K113" s="353"/>
      <c r="L113" s="353"/>
      <c r="M113" s="320"/>
      <c r="N113" s="329" t="s">
        <v>534</v>
      </c>
      <c r="O113" s="302" t="s">
        <v>29</v>
      </c>
      <c r="P113" s="215" t="s">
        <v>195</v>
      </c>
      <c r="Q113" s="215" t="s">
        <v>195</v>
      </c>
      <c r="R113" s="173" t="s">
        <v>368</v>
      </c>
      <c r="S113" s="217">
        <f t="shared" si="55"/>
        <v>9480</v>
      </c>
      <c r="T113" s="594">
        <f t="shared" si="56"/>
        <v>10</v>
      </c>
      <c r="U113" s="158">
        <f t="shared" si="57"/>
        <v>9480</v>
      </c>
      <c r="V113" s="140">
        <f>SUMIFS(S$66:S$103,R$66:R$103,R113)</f>
        <v>9480</v>
      </c>
      <c r="W113" s="344"/>
      <c r="X113" s="408"/>
    </row>
    <row r="114" spans="1:32">
      <c r="A114" s="393" t="s">
        <v>518</v>
      </c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275"/>
      <c r="N114" s="330" t="s">
        <v>534</v>
      </c>
      <c r="O114" s="306" t="s">
        <v>29</v>
      </c>
      <c r="P114" s="216" t="s">
        <v>195</v>
      </c>
      <c r="Q114" s="216" t="s">
        <v>195</v>
      </c>
      <c r="R114" s="216" t="s">
        <v>168</v>
      </c>
      <c r="S114" s="218">
        <f t="shared" si="55"/>
        <v>877126.09293441684</v>
      </c>
      <c r="T114" s="594">
        <f t="shared" si="56"/>
        <v>10</v>
      </c>
      <c r="U114" s="158">
        <f t="shared" si="57"/>
        <v>877126.09293441684</v>
      </c>
      <c r="V114" s="140">
        <f>SUMIFS(S$66:S$103,R$66:R$103,R114)</f>
        <v>877126.09293441684</v>
      </c>
      <c r="W114" s="344"/>
      <c r="X114" s="408"/>
    </row>
    <row r="115" spans="1:32">
      <c r="A115" s="338" t="s">
        <v>523</v>
      </c>
      <c r="B115" s="354"/>
      <c r="C115" s="354"/>
      <c r="D115" s="354"/>
      <c r="E115" s="354"/>
      <c r="F115" s="354"/>
      <c r="G115" s="354"/>
      <c r="H115" s="354"/>
      <c r="I115" s="354"/>
      <c r="J115" s="354"/>
      <c r="K115" s="354"/>
      <c r="L115" s="354"/>
      <c r="M115" s="321"/>
      <c r="N115" s="219" t="s">
        <v>505</v>
      </c>
      <c r="O115" s="219" t="s">
        <v>403</v>
      </c>
      <c r="P115" s="219" t="s">
        <v>195</v>
      </c>
      <c r="Q115" s="146" t="s">
        <v>199</v>
      </c>
      <c r="R115" s="543" t="s">
        <v>335</v>
      </c>
      <c r="S115" s="323">
        <f t="shared" ref="S115:S125" ca="1" si="58">ROUND(T115/100*W115*X115/Y115/Z115+AB115,U115)*AA115</f>
        <v>9.94</v>
      </c>
      <c r="T115" s="594">
        <f>100+Summary!$Q$9</f>
        <v>100.176</v>
      </c>
      <c r="U115" s="158">
        <v>2</v>
      </c>
      <c r="V115" s="278">
        <f ca="1">W115*X115/Y115/Z115*AA115+AB115</f>
        <v>9.9211549527918592</v>
      </c>
      <c r="W115" s="4">
        <f ca="1">S$106</f>
        <v>2823363.4114157879</v>
      </c>
      <c r="X115" s="140">
        <f>SUMIFS(S$66:S$103,Q$66:Q$103,Q115,R$66:R$103,R115)+SUMIFS(S$66:S$103,Q$66:Q$103,Q116,R$66:R$103,R116)</f>
        <v>1763403.7624748859</v>
      </c>
      <c r="Y115" s="140" cm="1">
        <f t="array" ref="Y115">SUM(SUMIFS(S$66:S$103,R$66:R$103,{"Bill","Annual Bill"}))</f>
        <v>2805959.9279543376</v>
      </c>
      <c r="Z115" s="140">
        <f>SUMIFS(S$8:S$51,Q$8:Q$51,Q115,R$8:R$51,R115)*AA115+SUMIFS(S$8:S$51,Q$8:Q$51,Q116,R$8:R$51,R116)*AA116</f>
        <v>178844.19497716898</v>
      </c>
      <c r="AA115" s="140">
        <v>1</v>
      </c>
      <c r="AB115" s="140"/>
      <c r="AD115" s="140"/>
    </row>
    <row r="116" spans="1:3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15" t="s">
        <v>505</v>
      </c>
      <c r="O116" s="215" t="s">
        <v>403</v>
      </c>
      <c r="P116" s="215" t="s">
        <v>195</v>
      </c>
      <c r="Q116" s="148" t="s">
        <v>199</v>
      </c>
      <c r="R116" s="544" t="s">
        <v>336</v>
      </c>
      <c r="S116" s="324">
        <f t="shared" ca="1" si="58"/>
        <v>119.28</v>
      </c>
      <c r="T116" s="594">
        <f>100+Summary!$Q$9</f>
        <v>100.176</v>
      </c>
      <c r="U116" s="158">
        <v>2</v>
      </c>
      <c r="V116" s="278">
        <f t="shared" ref="V116:V132" ca="1" si="59">W116*X116/Y116/Z116*AA116+AB116</f>
        <v>119.05385943350231</v>
      </c>
      <c r="W116" s="4">
        <f ca="1">S$106</f>
        <v>2823363.4114157879</v>
      </c>
      <c r="X116" s="140">
        <f>SUMIFS(S$66:S$103,Q$66:Q$103,Q115,R$66:R$103,R115)+SUMIFS(S$66:S$103,Q$66:Q$103,Q116,R$66:R$103,R116)</f>
        <v>1763403.7624748859</v>
      </c>
      <c r="Y116" s="140" cm="1">
        <f t="array" ref="Y116">SUM(SUMIFS(S$66:S$103,R$66:R$103,{"Bill","Annual Bill"}))</f>
        <v>2805959.9279543376</v>
      </c>
      <c r="Z116" s="140">
        <f>SUMIFS(S$8:S$51,Q$8:Q$51,Q115,R$8:R$51,R115)*AA115+SUMIFS(S$8:S$51,Q$8:Q$51,Q116,R$8:R$51,R116)*AA116</f>
        <v>178844.19497716898</v>
      </c>
      <c r="AA116" s="140">
        <v>12</v>
      </c>
      <c r="AB116" s="140"/>
      <c r="AD116" s="140"/>
    </row>
    <row r="117" spans="1:32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15" t="s">
        <v>505</v>
      </c>
      <c r="O117" s="215" t="s">
        <v>403</v>
      </c>
      <c r="P117" s="215" t="s">
        <v>195</v>
      </c>
      <c r="Q117" s="148" t="s">
        <v>200</v>
      </c>
      <c r="R117" s="544" t="s">
        <v>335</v>
      </c>
      <c r="S117" s="324">
        <f t="shared" ca="1" si="58"/>
        <v>14.82</v>
      </c>
      <c r="T117" s="594">
        <f>100+Summary!$Q$9</f>
        <v>100.176</v>
      </c>
      <c r="U117" s="158">
        <v>2</v>
      </c>
      <c r="V117" s="278">
        <f t="shared" ca="1" si="59"/>
        <v>14.791174219679545</v>
      </c>
      <c r="W117" s="4">
        <f ca="1">S$106</f>
        <v>2823363.4114157879</v>
      </c>
      <c r="X117" s="140">
        <f>SUMIFS(S$66:S$103,Q$66:Q$103,Q117,R$66:R$103,R117)+SUMIFS(S$66:S$103,Q$66:Q$103,Q118,R$66:R$103,R118)</f>
        <v>1042556.1654794519</v>
      </c>
      <c r="Y117" s="140" cm="1">
        <f t="array" ref="Y117">SUM(SUMIFS(S$66:S$103,R$66:R$103,{"Bill","Annual Bill"}))</f>
        <v>2805959.9279543376</v>
      </c>
      <c r="Z117" s="140">
        <f>SUMIFS(S$8:S$51,Q$8:Q$51,Q117,R$8:R$51,R117)*AA117+SUMIFS(S$8:S$51,Q$8:Q$51,Q118,R$8:R$51,R118)*AA118</f>
        <v>70922.188127853879</v>
      </c>
      <c r="AA117" s="140">
        <v>1</v>
      </c>
      <c r="AB117" s="140"/>
      <c r="AD117" s="140"/>
    </row>
    <row r="118" spans="1:3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15" t="s">
        <v>505</v>
      </c>
      <c r="O118" s="215" t="s">
        <v>403</v>
      </c>
      <c r="P118" s="215" t="s">
        <v>195</v>
      </c>
      <c r="Q118" s="148" t="s">
        <v>200</v>
      </c>
      <c r="R118" s="544" t="s">
        <v>336</v>
      </c>
      <c r="S118" s="324">
        <f t="shared" ca="1" si="58"/>
        <v>177.84</v>
      </c>
      <c r="T118" s="594">
        <f>100+Summary!$Q$9</f>
        <v>100.176</v>
      </c>
      <c r="U118" s="158">
        <v>2</v>
      </c>
      <c r="V118" s="278">
        <f t="shared" ca="1" si="59"/>
        <v>177.49409063615454</v>
      </c>
      <c r="W118" s="4">
        <f ca="1">S$106</f>
        <v>2823363.4114157879</v>
      </c>
      <c r="X118" s="140">
        <f>SUMIFS(S$66:S$103,Q$66:Q$103,Q117,R$66:R$103,R117)+SUMIFS(S$66:S$103,Q$66:Q$103,Q118,R$66:R$103,R118)</f>
        <v>1042556.1654794519</v>
      </c>
      <c r="Y118" s="140" cm="1">
        <f t="array" ref="Y118">SUM(SUMIFS(S$66:S$103,R$66:R$103,{"Bill","Annual Bill"}))</f>
        <v>2805959.9279543376</v>
      </c>
      <c r="Z118" s="140">
        <f>SUMIFS(S$8:S$51,Q$8:Q$51,Q117,R$8:R$51,R117)*AA117+SUMIFS(S$8:S$51,Q$8:Q$51,Q118,R$8:R$51,R118)*AA118</f>
        <v>70922.188127853879</v>
      </c>
      <c r="AA118" s="140">
        <v>12</v>
      </c>
      <c r="AB118" s="140"/>
      <c r="AD118" s="140"/>
    </row>
    <row r="119" spans="1:3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15" t="s">
        <v>505</v>
      </c>
      <c r="O119" s="215" t="s">
        <v>403</v>
      </c>
      <c r="P119" s="215" t="s">
        <v>195</v>
      </c>
      <c r="Q119" s="148" t="s">
        <v>195</v>
      </c>
      <c r="R119" s="544" t="s">
        <v>281</v>
      </c>
      <c r="S119" s="324">
        <f t="shared" ca="1" si="58"/>
        <v>1.04</v>
      </c>
      <c r="T119" s="594">
        <f>100+Summary!$Q$9</f>
        <v>100.176</v>
      </c>
      <c r="U119" s="158">
        <v>2</v>
      </c>
      <c r="V119" s="278">
        <f t="shared" ca="1" si="59"/>
        <v>1.037664385950952</v>
      </c>
      <c r="W119" s="4">
        <f ca="1">S$107</f>
        <v>1337788.9438998753</v>
      </c>
      <c r="X119" s="140">
        <v>1</v>
      </c>
      <c r="Y119" s="140">
        <v>1</v>
      </c>
      <c r="Z119" s="140">
        <f>SUMIFS(S$8:S$51,R$8:R$51,R119)*AA119+SUMIFS(S$8:S$51,R$8:R$51,R120)*AA120</f>
        <v>1289230.8553828592</v>
      </c>
      <c r="AA119" s="140">
        <v>1</v>
      </c>
      <c r="AB119" s="140"/>
      <c r="AD119" s="140"/>
    </row>
    <row r="120" spans="1:3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15" t="s">
        <v>505</v>
      </c>
      <c r="O120" s="215" t="s">
        <v>403</v>
      </c>
      <c r="P120" s="215" t="s">
        <v>195</v>
      </c>
      <c r="Q120" s="148" t="s">
        <v>195</v>
      </c>
      <c r="R120" s="544" t="s">
        <v>283</v>
      </c>
      <c r="S120" s="324">
        <f t="shared" ca="1" si="58"/>
        <v>12.48</v>
      </c>
      <c r="T120" s="594">
        <f>100+Summary!$Q$9</f>
        <v>100.176</v>
      </c>
      <c r="U120" s="158">
        <v>2</v>
      </c>
      <c r="V120" s="278">
        <f t="shared" ca="1" si="59"/>
        <v>12.451972631411424</v>
      </c>
      <c r="W120" s="4">
        <f ca="1">S$107</f>
        <v>1337788.9438998753</v>
      </c>
      <c r="X120" s="140">
        <v>1</v>
      </c>
      <c r="Y120" s="140">
        <v>1</v>
      </c>
      <c r="Z120" s="140">
        <f>SUMIFS(S$8:S$51,R$8:R$51,R119)*AA119+SUMIFS(S$8:S$51,R$8:R$51,R120)*AA120</f>
        <v>1289230.8553828592</v>
      </c>
      <c r="AA120" s="140">
        <v>12</v>
      </c>
      <c r="AB120" s="140"/>
      <c r="AD120" s="140"/>
    </row>
    <row r="121" spans="1:3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15" t="s">
        <v>505</v>
      </c>
      <c r="O121" s="215" t="s">
        <v>403</v>
      </c>
      <c r="P121" s="215" t="s">
        <v>195</v>
      </c>
      <c r="Q121" s="148" t="s">
        <v>195</v>
      </c>
      <c r="R121" s="544" t="s">
        <v>202</v>
      </c>
      <c r="S121" s="324">
        <f t="shared" ca="1" si="58"/>
        <v>3.81</v>
      </c>
      <c r="T121" s="594">
        <f>100+Summary!$Q$9</f>
        <v>100.176</v>
      </c>
      <c r="U121" s="158">
        <v>2</v>
      </c>
      <c r="V121" s="278">
        <f t="shared" ca="1" si="59"/>
        <v>3.8014435677626208</v>
      </c>
      <c r="W121" s="4">
        <f ca="1">S108</f>
        <v>2898806.5670915609</v>
      </c>
      <c r="X121" s="140">
        <v>1</v>
      </c>
      <c r="Y121" s="140">
        <v>1</v>
      </c>
      <c r="Z121" s="140">
        <f>SUMIFS(S$8:S$51,R$8:R$51,R121)</f>
        <v>762554.14960629912</v>
      </c>
      <c r="AA121" s="140">
        <v>1</v>
      </c>
      <c r="AB121" s="140"/>
      <c r="AC121" s="140"/>
      <c r="AD121" s="140"/>
    </row>
    <row r="122" spans="1:3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15" t="s">
        <v>505</v>
      </c>
      <c r="O122" s="215" t="s">
        <v>403</v>
      </c>
      <c r="P122" s="215" t="s">
        <v>195</v>
      </c>
      <c r="Q122" s="148" t="s">
        <v>195</v>
      </c>
      <c r="R122" s="544" t="s">
        <v>396</v>
      </c>
      <c r="S122" s="324">
        <f t="shared" ca="1" si="58"/>
        <v>0.12523000000000001</v>
      </c>
      <c r="T122" s="594">
        <f>100+Summary!$Q$9</f>
        <v>100.176</v>
      </c>
      <c r="U122" s="158">
        <v>5</v>
      </c>
      <c r="V122" s="278">
        <f t="shared" ca="1" si="59"/>
        <v>0.12501916899857099</v>
      </c>
      <c r="W122" s="4">
        <f ca="1">S$109</f>
        <v>49884056.187096938</v>
      </c>
      <c r="X122" s="140">
        <f>SUMIFS(S$66:S$103,R$66:R$103,"kWh First Block*")</f>
        <v>16843540.947404664</v>
      </c>
      <c r="Y122" s="140">
        <f>SUMIFS(S$66:S$103,R$66:R$103,"kWh*")</f>
        <v>49996337.0979883</v>
      </c>
      <c r="Z122" s="4" cm="1">
        <f t="array" ref="Z122">SUM(SUMIFS(S$8:S$51,R$8:R$51,{"kWh First Block*"}))</f>
        <v>141471030.9709782</v>
      </c>
      <c r="AA122" s="140">
        <v>1</v>
      </c>
      <c r="AB122" s="311">
        <f>AC122/AD122*AE122</f>
        <v>6.2265518915322442E-3</v>
      </c>
      <c r="AC122" s="4">
        <f>SUMIFS(S$8:S$51,R$8:R$51,"*(October - May)")</f>
        <v>352686815.57061332</v>
      </c>
      <c r="AD122" s="140">
        <f>SUMIFS(S$8:S$51,R$8:R$51,"kWh*")</f>
        <v>544109630.43028224</v>
      </c>
      <c r="AE122" s="311">
        <f>'Sch.16,17,19'!AG$38</f>
        <v>9.6060490468724904E-3</v>
      </c>
    </row>
    <row r="123" spans="1:3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15" t="s">
        <v>505</v>
      </c>
      <c r="O123" s="215" t="s">
        <v>403</v>
      </c>
      <c r="P123" s="215" t="s">
        <v>195</v>
      </c>
      <c r="Q123" s="148" t="s">
        <v>195</v>
      </c>
      <c r="R123" s="544" t="s">
        <v>394</v>
      </c>
      <c r="S123" s="324">
        <f t="shared" ca="1" si="58"/>
        <v>0.11562</v>
      </c>
      <c r="T123" s="594">
        <f>100+Summary!$Q$9</f>
        <v>100.176</v>
      </c>
      <c r="U123" s="158">
        <v>5</v>
      </c>
      <c r="V123" s="278">
        <f t="shared" ca="1" si="59"/>
        <v>0.11541311995169851</v>
      </c>
      <c r="W123" s="4">
        <f ca="1">S$109</f>
        <v>49884056.187096938</v>
      </c>
      <c r="X123" s="140">
        <f>SUMIFS(S$66:S$103,R$66:R$103,"kWh First Block*")</f>
        <v>16843540.947404664</v>
      </c>
      <c r="Y123" s="140">
        <f>SUMIFS(S$66:S$103,R$66:R$103,"kWh*")</f>
        <v>49996337.0979883</v>
      </c>
      <c r="Z123" s="4" cm="1">
        <f t="array" ref="Z123">SUM(SUMIFS(S$8:S$51,R$8:R$51,{"kWh First Block*"}))</f>
        <v>141471030.9709782</v>
      </c>
      <c r="AA123" s="140">
        <v>1</v>
      </c>
      <c r="AB123" s="311">
        <f t="shared" ref="AB123:AB125" si="60">AC123/AD123*AE123</f>
        <v>-3.3794971553402467E-3</v>
      </c>
      <c r="AC123" s="4">
        <f>SUMIFS(S$8:S$51,R$8:R$51,"*(June - September)")</f>
        <v>191422814.85966891</v>
      </c>
      <c r="AD123" s="140">
        <f t="shared" ref="AD123:AD125" si="61">SUMIFS(S$8:S$51,R$8:R$51,"kWh*")</f>
        <v>544109630.43028224</v>
      </c>
      <c r="AE123" s="311">
        <f>-'Sch.16,17,19'!AG$38</f>
        <v>-9.6060490468724904E-3</v>
      </c>
      <c r="AF123" s="311">
        <f ca="1">T123/100*W123*X123/Y123/Z123</f>
        <v>0.11900169211314714</v>
      </c>
    </row>
    <row r="124" spans="1:3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15" t="s">
        <v>505</v>
      </c>
      <c r="O124" s="215" t="s">
        <v>403</v>
      </c>
      <c r="P124" s="215" t="s">
        <v>195</v>
      </c>
      <c r="Q124" s="148" t="s">
        <v>195</v>
      </c>
      <c r="R124" s="544" t="s">
        <v>397</v>
      </c>
      <c r="S124" s="324">
        <f t="shared" ca="1" si="58"/>
        <v>8.8529999999999998E-2</v>
      </c>
      <c r="T124" s="594">
        <f>100+Summary!$Q$9</f>
        <v>100.176</v>
      </c>
      <c r="U124" s="158">
        <v>5</v>
      </c>
      <c r="V124" s="278">
        <f t="shared" ca="1" si="59"/>
        <v>8.8380479055107208E-2</v>
      </c>
      <c r="W124" s="4">
        <f ca="1">S$109</f>
        <v>49884056.187096938</v>
      </c>
      <c r="X124" s="140" cm="1">
        <f t="array" ref="X124">SUM(SUMIFS(S$66:S$103,R$66:R$103,{"kWh Second Block*","kWh Third Block*"}))</f>
        <v>33152796.150583629</v>
      </c>
      <c r="Y124" s="140">
        <f>SUMIFS(S$66:S$103,R$66:R$103,"kWh*")</f>
        <v>49996337.0979883</v>
      </c>
      <c r="Z124" s="4" cm="1">
        <f t="array" ref="Z124">SUM(SUMIFS(S$8:S$51,R$8:R$51,{"kWh Second Block*","kWh Third Block*"}))</f>
        <v>402638599.45930403</v>
      </c>
      <c r="AA124" s="140">
        <v>1</v>
      </c>
      <c r="AB124" s="311">
        <f t="shared" si="60"/>
        <v>6.2265518915322442E-3</v>
      </c>
      <c r="AC124" s="4">
        <f>SUMIFS(S$8:S$51,R$8:R$51,"*(October - May)")</f>
        <v>352686815.57061332</v>
      </c>
      <c r="AD124" s="140">
        <f t="shared" si="61"/>
        <v>544109630.43028224</v>
      </c>
      <c r="AE124" s="311">
        <f>'Sch.16,17,19'!AG$38</f>
        <v>9.6060490468724904E-3</v>
      </c>
    </row>
    <row r="125" spans="1:3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15" t="s">
        <v>505</v>
      </c>
      <c r="O125" s="215" t="s">
        <v>403</v>
      </c>
      <c r="P125" s="215" t="s">
        <v>195</v>
      </c>
      <c r="Q125" s="148" t="s">
        <v>195</v>
      </c>
      <c r="R125" s="544" t="s">
        <v>395</v>
      </c>
      <c r="S125" s="324">
        <f t="shared" ca="1" si="58"/>
        <v>7.8920000000000004E-2</v>
      </c>
      <c r="T125" s="594">
        <f>100+Summary!$Q$9</f>
        <v>100.176</v>
      </c>
      <c r="U125" s="158">
        <v>5</v>
      </c>
      <c r="V125" s="278">
        <f t="shared" ca="1" si="59"/>
        <v>7.8774430008234711E-2</v>
      </c>
      <c r="W125" s="4">
        <f ca="1">S$109</f>
        <v>49884056.187096938</v>
      </c>
      <c r="X125" s="140" cm="1">
        <f t="array" ref="X125">SUM(SUMIFS(S$66:S$103,R$66:R$103,{"kWh Second Block*","kWh Third Block*"}))</f>
        <v>33152796.150583629</v>
      </c>
      <c r="Y125" s="140">
        <f>SUMIFS(S$66:S$103,R$66:R$103,"kWh*")</f>
        <v>49996337.0979883</v>
      </c>
      <c r="Z125" s="4" cm="1">
        <f t="array" ref="Z125">SUM(SUMIFS(S$8:S$51,R$8:R$51,{"kWh Second Block*","kWh Third Block*"}))</f>
        <v>402638599.45930403</v>
      </c>
      <c r="AA125" s="140">
        <v>1</v>
      </c>
      <c r="AB125" s="311">
        <f t="shared" si="60"/>
        <v>-3.3794971553402467E-3</v>
      </c>
      <c r="AC125" s="4">
        <f>SUMIFS(S$8:S$51,R$8:R$51,"*(June - September)")</f>
        <v>191422814.85966891</v>
      </c>
      <c r="AD125" s="140">
        <f t="shared" si="61"/>
        <v>544109630.43028224</v>
      </c>
      <c r="AE125" s="311">
        <f>-'Sch.16,17,19'!AG$38</f>
        <v>-9.6060490468724904E-3</v>
      </c>
      <c r="AF125" s="311">
        <f ca="1">T125/100*W125*X125/Y125/Z125</f>
        <v>8.2298518075382854E-2</v>
      </c>
    </row>
    <row r="126" spans="1:3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15" t="s">
        <v>505</v>
      </c>
      <c r="O126" s="215" t="s">
        <v>403</v>
      </c>
      <c r="P126" s="215" t="s">
        <v>195</v>
      </c>
      <c r="Q126" s="148" t="s">
        <v>195</v>
      </c>
      <c r="R126" s="545" t="s">
        <v>579</v>
      </c>
      <c r="S126" s="324">
        <f>ROUND(W138*(1-X138/100),U126)</f>
        <v>3.0599999999999999E-2</v>
      </c>
      <c r="T126" s="594"/>
      <c r="U126" s="158">
        <v>5</v>
      </c>
      <c r="V126" s="278"/>
      <c r="W126" s="4"/>
      <c r="X126" s="140"/>
      <c r="Y126" s="140"/>
      <c r="Z126" s="4"/>
      <c r="AA126" s="140"/>
      <c r="AB126" s="311"/>
      <c r="AD126" s="140"/>
      <c r="AE126" s="311"/>
      <c r="AF126" s="311"/>
    </row>
    <row r="127" spans="1:3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15" t="s">
        <v>505</v>
      </c>
      <c r="O127" s="215" t="s">
        <v>403</v>
      </c>
      <c r="P127" s="215" t="s">
        <v>195</v>
      </c>
      <c r="Q127" s="148" t="s">
        <v>195</v>
      </c>
      <c r="R127" s="545" t="s">
        <v>580</v>
      </c>
      <c r="S127" s="324">
        <f>ROUND(W138*(-X138/100),U127)</f>
        <v>-2.2450000000000001E-2</v>
      </c>
      <c r="T127" s="594"/>
      <c r="U127" s="158">
        <v>5</v>
      </c>
      <c r="V127" s="278"/>
      <c r="W127" s="4"/>
      <c r="X127" s="140"/>
      <c r="Y127" s="140"/>
      <c r="Z127" s="4"/>
      <c r="AA127" s="140"/>
      <c r="AB127" s="311"/>
      <c r="AD127" s="140"/>
      <c r="AE127" s="311"/>
      <c r="AF127" s="311"/>
    </row>
    <row r="128" spans="1:3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15" t="s">
        <v>505</v>
      </c>
      <c r="O128" s="215" t="s">
        <v>403</v>
      </c>
      <c r="P128" s="215" t="s">
        <v>195</v>
      </c>
      <c r="Q128" s="148" t="s">
        <v>195</v>
      </c>
      <c r="R128" s="545" t="s">
        <v>581</v>
      </c>
      <c r="S128" s="324">
        <v>2</v>
      </c>
      <c r="T128" s="594"/>
      <c r="V128" s="278"/>
      <c r="W128" s="4"/>
      <c r="X128" s="140"/>
      <c r="Y128" s="140"/>
      <c r="Z128" s="4"/>
      <c r="AA128" s="140"/>
      <c r="AB128" s="311"/>
      <c r="AD128" s="140"/>
      <c r="AE128" s="311"/>
      <c r="AF128" s="311"/>
    </row>
    <row r="129" spans="3:30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15" t="s">
        <v>505</v>
      </c>
      <c r="O129" s="215" t="s">
        <v>403</v>
      </c>
      <c r="P129" s="215" t="s">
        <v>195</v>
      </c>
      <c r="Q129" s="148" t="s">
        <v>195</v>
      </c>
      <c r="R129" s="544" t="s">
        <v>201</v>
      </c>
      <c r="S129" s="324">
        <f t="shared" ref="S129" si="62">ROUND(T129/100*W129*X129/Y129/Z129+AB129,U129)*AA129</f>
        <v>0.57999999999999996</v>
      </c>
      <c r="T129" s="594">
        <f>100+Summary!$Q$9</f>
        <v>100.176</v>
      </c>
      <c r="U129" s="158">
        <v>2</v>
      </c>
      <c r="V129" s="278">
        <f t="shared" si="59"/>
        <v>0.57999999999999996</v>
      </c>
      <c r="W129" s="4">
        <f>S110</f>
        <v>71615.829999999987</v>
      </c>
      <c r="X129" s="140">
        <v>1</v>
      </c>
      <c r="Y129" s="140">
        <v>1</v>
      </c>
      <c r="Z129" s="140">
        <f>SUMIFS(S$8:S$51,R$8:R$51,R129)</f>
        <v>123475.56896551723</v>
      </c>
      <c r="AA129" s="140">
        <v>1</v>
      </c>
      <c r="AB129" s="140"/>
      <c r="AD129" s="140"/>
    </row>
    <row r="130" spans="3:30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15" t="s">
        <v>505</v>
      </c>
      <c r="O130" s="215" t="s">
        <v>403</v>
      </c>
      <c r="P130" s="215" t="s">
        <v>195</v>
      </c>
      <c r="Q130" s="148" t="s">
        <v>195</v>
      </c>
      <c r="R130" s="636" t="s">
        <v>367</v>
      </c>
      <c r="S130" s="324">
        <f t="shared" ref="S130:S132" si="63">ROUND(T130/100*W130*X130/Y130/Z130+AB130,U130)*AA130</f>
        <v>-0.01</v>
      </c>
      <c r="T130" s="593">
        <v>100</v>
      </c>
      <c r="U130" s="158">
        <v>2</v>
      </c>
      <c r="V130" s="278">
        <f t="shared" si="59"/>
        <v>-1.0000000000000002E-2</v>
      </c>
      <c r="W130" s="4">
        <f>S111</f>
        <v>-1163.3600000000001</v>
      </c>
      <c r="X130" s="140">
        <v>1</v>
      </c>
      <c r="Y130" s="140">
        <v>1</v>
      </c>
      <c r="Z130" s="140">
        <f>SUMIFS(S$8:S$51,R$8:R$51,R130)</f>
        <v>116336</v>
      </c>
      <c r="AA130" s="140">
        <v>1</v>
      </c>
      <c r="AB130" s="140"/>
      <c r="AD130" s="140"/>
    </row>
    <row r="131" spans="3:30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15" t="s">
        <v>505</v>
      </c>
      <c r="O131" s="215" t="s">
        <v>403</v>
      </c>
      <c r="P131" s="215" t="s">
        <v>195</v>
      </c>
      <c r="Q131" s="148" t="s">
        <v>195</v>
      </c>
      <c r="R131" s="636" t="s">
        <v>358</v>
      </c>
      <c r="S131" s="324">
        <f t="shared" si="63"/>
        <v>-0.3</v>
      </c>
      <c r="T131" s="593">
        <v>100</v>
      </c>
      <c r="U131" s="158">
        <v>2</v>
      </c>
      <c r="V131" s="278">
        <f t="shared" si="59"/>
        <v>-0.30000000000000004</v>
      </c>
      <c r="W131" s="4">
        <f>S112</f>
        <v>-1276.75</v>
      </c>
      <c r="X131" s="140">
        <v>1</v>
      </c>
      <c r="Y131" s="140">
        <v>1</v>
      </c>
      <c r="Z131" s="140">
        <f>SUMIFS(S$8:S$51,R$8:R$51,R131)</f>
        <v>4255.833333333333</v>
      </c>
      <c r="AA131" s="140">
        <v>1</v>
      </c>
      <c r="AB131" s="140"/>
      <c r="AD131" s="140"/>
    </row>
    <row r="132" spans="3:30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16" t="s">
        <v>505</v>
      </c>
      <c r="O132" s="216" t="s">
        <v>403</v>
      </c>
      <c r="P132" s="216" t="s">
        <v>195</v>
      </c>
      <c r="Q132" s="151" t="s">
        <v>195</v>
      </c>
      <c r="R132" s="637" t="s">
        <v>368</v>
      </c>
      <c r="S132" s="325">
        <f t="shared" si="63"/>
        <v>60</v>
      </c>
      <c r="T132" s="593">
        <v>100</v>
      </c>
      <c r="U132" s="158">
        <v>2</v>
      </c>
      <c r="V132" s="278">
        <f t="shared" si="59"/>
        <v>60</v>
      </c>
      <c r="W132" s="4">
        <f>S113</f>
        <v>9480</v>
      </c>
      <c r="X132" s="140">
        <v>1</v>
      </c>
      <c r="Y132" s="140">
        <v>1</v>
      </c>
      <c r="Z132" s="140">
        <f>SUMIFS(S$8:S$51,R$8:R$51,R132)</f>
        <v>158</v>
      </c>
      <c r="AA132" s="140">
        <v>1</v>
      </c>
      <c r="AB132" s="140"/>
      <c r="AD132" s="140"/>
    </row>
    <row r="133" spans="3:30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19" t="s">
        <v>505</v>
      </c>
      <c r="O133" s="219" t="s">
        <v>29</v>
      </c>
      <c r="P133" s="144" t="s">
        <v>4</v>
      </c>
      <c r="Q133" s="146" t="s">
        <v>199</v>
      </c>
      <c r="R133" s="146" t="s">
        <v>335</v>
      </c>
      <c r="S133" s="220">
        <f t="shared" ref="S133:S180" ca="1" si="64">IF(R133="Unbilled",SUMIFS(S$66:S$103,P$66:P$103,P133,R$66:R$103,R133),SUMIFS(S$115:S$132,Q$115:Q$132,Q133,R$115:R$132,R133)*U133)</f>
        <v>390257.32199999999</v>
      </c>
      <c r="T133" s="4">
        <f t="shared" ref="T133:T180" ca="1" si="65">IF(R133="Unbilled",SUMIFS(S$66:S$103,P$66:P$103,P133,R$66:R$103,R133),SUMIFS(V$115:V$132,Q$115:Q$132,Q133,R$115:R$132,R133)*U133)</f>
        <v>389517.44094804703</v>
      </c>
      <c r="U133" s="140">
        <f t="shared" ref="U133:U141" si="66">SUMIFS(S$8:S$51,P$8:P$51,P133,Q$8:Q$51,Q133,R$8:R$51,R133)</f>
        <v>39261.300000000003</v>
      </c>
      <c r="X133" s="140"/>
    </row>
    <row r="134" spans="3:30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15" t="s">
        <v>505</v>
      </c>
      <c r="O134" s="215" t="s">
        <v>29</v>
      </c>
      <c r="P134" s="100" t="s">
        <v>4</v>
      </c>
      <c r="Q134" s="148" t="s">
        <v>199</v>
      </c>
      <c r="R134" s="148" t="s">
        <v>336</v>
      </c>
      <c r="S134" s="217">
        <f t="shared" ca="1" si="64"/>
        <v>0</v>
      </c>
      <c r="T134" s="4">
        <f t="shared" ca="1" si="65"/>
        <v>0</v>
      </c>
      <c r="U134" s="140">
        <f t="shared" si="66"/>
        <v>0</v>
      </c>
      <c r="W134" s="224" t="s">
        <v>584</v>
      </c>
      <c r="X134" s="380"/>
    </row>
    <row r="135" spans="3:30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15" t="s">
        <v>505</v>
      </c>
      <c r="O135" s="215" t="s">
        <v>29</v>
      </c>
      <c r="P135" s="100" t="s">
        <v>4</v>
      </c>
      <c r="Q135" s="148" t="s">
        <v>200</v>
      </c>
      <c r="R135" s="148" t="s">
        <v>335</v>
      </c>
      <c r="S135" s="217">
        <f t="shared" ca="1" si="64"/>
        <v>40275.820000000007</v>
      </c>
      <c r="T135" s="4">
        <f t="shared" ca="1" si="65"/>
        <v>40197.481137682451</v>
      </c>
      <c r="U135" s="140">
        <f t="shared" si="66"/>
        <v>2717.666666666667</v>
      </c>
      <c r="W135" s="547" t="s">
        <v>618</v>
      </c>
      <c r="X135" s="437"/>
    </row>
    <row r="136" spans="3:30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15" t="s">
        <v>505</v>
      </c>
      <c r="O136" s="215" t="s">
        <v>29</v>
      </c>
      <c r="P136" s="100" t="s">
        <v>4</v>
      </c>
      <c r="Q136" s="148" t="s">
        <v>200</v>
      </c>
      <c r="R136" s="148" t="s">
        <v>336</v>
      </c>
      <c r="S136" s="217">
        <f t="shared" ca="1" si="64"/>
        <v>0</v>
      </c>
      <c r="T136" s="4">
        <f t="shared" ca="1" si="65"/>
        <v>0</v>
      </c>
      <c r="U136" s="140">
        <f t="shared" si="66"/>
        <v>0</v>
      </c>
      <c r="W136" s="635" t="s">
        <v>609</v>
      </c>
      <c r="X136" s="635" t="s">
        <v>494</v>
      </c>
    </row>
    <row r="137" spans="3:30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15" t="s">
        <v>505</v>
      </c>
      <c r="O137" s="215" t="s">
        <v>29</v>
      </c>
      <c r="P137" s="100" t="s">
        <v>4</v>
      </c>
      <c r="Q137" s="148" t="s">
        <v>195</v>
      </c>
      <c r="R137" s="148" t="s">
        <v>281</v>
      </c>
      <c r="S137" s="217">
        <f t="shared" ca="1" si="64"/>
        <v>25535.041333333338</v>
      </c>
      <c r="T137" s="4">
        <f t="shared" ca="1" si="65"/>
        <v>25477.695178255304</v>
      </c>
      <c r="U137" s="140">
        <f t="shared" si="66"/>
        <v>24552.924358974364</v>
      </c>
      <c r="W137" s="555" t="s">
        <v>582</v>
      </c>
      <c r="X137" s="555" t="s">
        <v>492</v>
      </c>
    </row>
    <row r="138" spans="3:30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15" t="s">
        <v>505</v>
      </c>
      <c r="O138" s="215" t="s">
        <v>29</v>
      </c>
      <c r="P138" s="100" t="s">
        <v>4</v>
      </c>
      <c r="Q138" s="148" t="s">
        <v>195</v>
      </c>
      <c r="R138" s="148" t="s">
        <v>283</v>
      </c>
      <c r="S138" s="217">
        <f t="shared" ca="1" si="64"/>
        <v>0</v>
      </c>
      <c r="T138" s="4">
        <f t="shared" ca="1" si="65"/>
        <v>0</v>
      </c>
      <c r="U138" s="140">
        <f t="shared" si="66"/>
        <v>0</v>
      </c>
      <c r="W138" s="423">
        <f>'Sch.16,17,19'!Q25-'Sch.16,17,19'!Q26</f>
        <v>5.305E-2</v>
      </c>
      <c r="X138" s="337">
        <f>'Sch.16,17,19'!W28</f>
        <v>42.314263710172199</v>
      </c>
    </row>
    <row r="139" spans="3:30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15" t="s">
        <v>505</v>
      </c>
      <c r="O139" s="215" t="s">
        <v>29</v>
      </c>
      <c r="P139" s="100" t="s">
        <v>4</v>
      </c>
      <c r="Q139" s="148" t="s">
        <v>195</v>
      </c>
      <c r="R139" s="148" t="s">
        <v>202</v>
      </c>
      <c r="S139" s="217">
        <f t="shared" ca="1" si="64"/>
        <v>55302.650000000009</v>
      </c>
      <c r="T139" s="4">
        <f t="shared" ca="1" si="65"/>
        <v>55178.452263183077</v>
      </c>
      <c r="U139" s="140">
        <f t="shared" si="66"/>
        <v>14515.131233595803</v>
      </c>
    </row>
    <row r="140" spans="3:30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15" t="s">
        <v>505</v>
      </c>
      <c r="O140" s="215" t="s">
        <v>29</v>
      </c>
      <c r="P140" s="100" t="s">
        <v>4</v>
      </c>
      <c r="Q140" s="148" t="s">
        <v>195</v>
      </c>
      <c r="R140" s="148" t="s">
        <v>396</v>
      </c>
      <c r="S140" s="217">
        <f t="shared" ca="1" si="64"/>
        <v>569023.60951864952</v>
      </c>
      <c r="T140" s="4">
        <f t="shared" ca="1" si="65"/>
        <v>568065.62966213294</v>
      </c>
      <c r="U140" s="140">
        <f t="shared" si="66"/>
        <v>4543828.2322019441</v>
      </c>
    </row>
    <row r="141" spans="3:30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15" t="s">
        <v>505</v>
      </c>
      <c r="O141" s="215" t="s">
        <v>29</v>
      </c>
      <c r="P141" s="100" t="s">
        <v>4</v>
      </c>
      <c r="Q141" s="148" t="s">
        <v>195</v>
      </c>
      <c r="R141" s="148" t="s">
        <v>394</v>
      </c>
      <c r="S141" s="217">
        <f t="shared" ca="1" si="64"/>
        <v>1043228.1625521956</v>
      </c>
      <c r="T141" s="4">
        <f t="shared" ca="1" si="65"/>
        <v>1041361.5037331481</v>
      </c>
      <c r="U141" s="140">
        <f t="shared" si="66"/>
        <v>9022904.0179224666</v>
      </c>
      <c r="X141" s="140"/>
    </row>
    <row r="142" spans="3:30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15" t="s">
        <v>505</v>
      </c>
      <c r="O142" s="215" t="s">
        <v>29</v>
      </c>
      <c r="P142" s="100" t="s">
        <v>4</v>
      </c>
      <c r="Q142" s="148" t="s">
        <v>195</v>
      </c>
      <c r="R142" s="148" t="s">
        <v>397</v>
      </c>
      <c r="S142" s="217">
        <f t="shared" ca="1" si="64"/>
        <v>239847.57008490615</v>
      </c>
      <c r="T142" s="4">
        <f t="shared" ca="1" si="65"/>
        <v>239442.48440424047</v>
      </c>
      <c r="U142" s="140">
        <f>SUMIFS(S$8:S$51,P$8:P$51,P142,Q$8:Q$51,Q142,R$8:R$51,R142)+S16</f>
        <v>2709223.6539580501</v>
      </c>
      <c r="X142" s="140"/>
    </row>
    <row r="143" spans="3:30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15" t="s">
        <v>505</v>
      </c>
      <c r="O143" s="215" t="s">
        <v>29</v>
      </c>
      <c r="P143" s="100" t="s">
        <v>4</v>
      </c>
      <c r="Q143" s="148" t="s">
        <v>195</v>
      </c>
      <c r="R143" s="148" t="s">
        <v>395</v>
      </c>
      <c r="S143" s="217">
        <f t="shared" ca="1" si="64"/>
        <v>420519.13789776486</v>
      </c>
      <c r="T143" s="4">
        <f t="shared" ca="1" si="65"/>
        <v>419743.47941523918</v>
      </c>
      <c r="U143" s="140">
        <f>SUMIFS(S$8:S$51,P$8:P$51,P143,Q$8:Q$51,Q143,R$8:R$51,R143)+S17</f>
        <v>5328422.9333219063</v>
      </c>
      <c r="X143" s="140"/>
    </row>
    <row r="144" spans="3:30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15" t="s">
        <v>505</v>
      </c>
      <c r="O144" s="215" t="s">
        <v>29</v>
      </c>
      <c r="P144" s="100" t="s">
        <v>4</v>
      </c>
      <c r="Q144" s="148" t="s">
        <v>195</v>
      </c>
      <c r="R144" s="148" t="s">
        <v>201</v>
      </c>
      <c r="S144" s="217">
        <f t="shared" si="64"/>
        <v>65.539999999999992</v>
      </c>
      <c r="T144" s="4">
        <f t="shared" si="65"/>
        <v>65.539999999999992</v>
      </c>
      <c r="U144" s="140">
        <f>SUMIFS(S$8:S$51,P$8:P$51,P144,Q$8:Q$51,Q144,R$8:R$51,R144)</f>
        <v>113</v>
      </c>
      <c r="X144" s="140"/>
    </row>
    <row r="145" spans="3:24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15" t="s">
        <v>505</v>
      </c>
      <c r="O145" s="215" t="s">
        <v>29</v>
      </c>
      <c r="P145" s="100" t="s">
        <v>4</v>
      </c>
      <c r="Q145" s="148" t="s">
        <v>195</v>
      </c>
      <c r="R145" s="173" t="s">
        <v>367</v>
      </c>
      <c r="S145" s="217">
        <f t="shared" si="64"/>
        <v>0</v>
      </c>
      <c r="T145" s="4">
        <f t="shared" si="65"/>
        <v>0</v>
      </c>
      <c r="U145" s="140">
        <f>SUMIFS(S$8:S$51,P$8:P$51,P145,Q$8:Q$51,Q145,R$8:R$51,R145)</f>
        <v>0</v>
      </c>
      <c r="X145" s="311"/>
    </row>
    <row r="146" spans="3:24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15" t="s">
        <v>505</v>
      </c>
      <c r="O146" s="215" t="s">
        <v>29</v>
      </c>
      <c r="P146" s="100" t="s">
        <v>4</v>
      </c>
      <c r="Q146" s="148" t="s">
        <v>195</v>
      </c>
      <c r="R146" s="173" t="s">
        <v>358</v>
      </c>
      <c r="S146" s="217">
        <f t="shared" si="64"/>
        <v>0</v>
      </c>
      <c r="T146" s="4">
        <f t="shared" si="65"/>
        <v>0</v>
      </c>
      <c r="U146" s="140">
        <f>SUMIFS(S$8:S$51,P$8:P$51,P146,Q$8:Q$51,Q146,R$8:R$51,R146)</f>
        <v>0</v>
      </c>
      <c r="X146" s="140"/>
    </row>
    <row r="147" spans="3:24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15" t="s">
        <v>505</v>
      </c>
      <c r="O147" s="215" t="s">
        <v>29</v>
      </c>
      <c r="P147" s="100" t="s">
        <v>4</v>
      </c>
      <c r="Q147" s="148" t="s">
        <v>195</v>
      </c>
      <c r="R147" s="173" t="s">
        <v>368</v>
      </c>
      <c r="S147" s="217">
        <f t="shared" si="64"/>
        <v>0</v>
      </c>
      <c r="T147" s="4">
        <f t="shared" si="65"/>
        <v>0</v>
      </c>
      <c r="U147" s="140">
        <f>SUMIFS(S$8:S$51,P$8:P$51,P147,Q$8:Q$51,Q147,R$8:R$51,R147)</f>
        <v>0</v>
      </c>
      <c r="X147" s="140"/>
    </row>
    <row r="148" spans="3:24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16" t="s">
        <v>505</v>
      </c>
      <c r="O148" s="216" t="s">
        <v>29</v>
      </c>
      <c r="P148" s="152" t="s">
        <v>4</v>
      </c>
      <c r="Q148" s="151" t="s">
        <v>195</v>
      </c>
      <c r="R148" s="427" t="s">
        <v>168</v>
      </c>
      <c r="S148" s="218">
        <f t="shared" si="64"/>
        <v>92749.030275302401</v>
      </c>
      <c r="T148" s="4">
        <f t="shared" si="65"/>
        <v>92749.030275302401</v>
      </c>
      <c r="U148" s="140"/>
      <c r="X148" s="140"/>
    </row>
    <row r="149" spans="3:24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19" t="s">
        <v>505</v>
      </c>
      <c r="O149" s="219" t="s">
        <v>29</v>
      </c>
      <c r="P149" s="146" t="s">
        <v>5</v>
      </c>
      <c r="Q149" s="146" t="s">
        <v>199</v>
      </c>
      <c r="R149" s="146" t="s">
        <v>335</v>
      </c>
      <c r="S149" s="220">
        <f t="shared" ca="1" si="64"/>
        <v>1366618.7920000001</v>
      </c>
      <c r="T149" s="4">
        <f t="shared" ca="1" si="65"/>
        <v>1364027.846763504</v>
      </c>
      <c r="U149" s="140">
        <f t="shared" ref="U149:U157" si="67">SUMIFS(S$8:S$51,P$8:P$51,P149,Q$8:Q$51,Q149,R$8:R$51,R149)</f>
        <v>137486.80000000002</v>
      </c>
      <c r="X149" s="140"/>
    </row>
    <row r="150" spans="3:24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15" t="s">
        <v>505</v>
      </c>
      <c r="O150" s="215" t="s">
        <v>29</v>
      </c>
      <c r="P150" s="148" t="s">
        <v>5</v>
      </c>
      <c r="Q150" s="148" t="s">
        <v>199</v>
      </c>
      <c r="R150" s="148" t="s">
        <v>336</v>
      </c>
      <c r="S150" s="217">
        <f t="shared" ca="1" si="64"/>
        <v>313.72273972602738</v>
      </c>
      <c r="T150" s="4">
        <f t="shared" ca="1" si="65"/>
        <v>313.12795905797867</v>
      </c>
      <c r="U150" s="140">
        <f t="shared" si="67"/>
        <v>2.6301369863013697</v>
      </c>
      <c r="X150" s="140"/>
    </row>
    <row r="151" spans="3:24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15" t="s">
        <v>505</v>
      </c>
      <c r="O151" s="215" t="s">
        <v>29</v>
      </c>
      <c r="P151" s="148" t="s">
        <v>5</v>
      </c>
      <c r="Q151" s="148" t="s">
        <v>200</v>
      </c>
      <c r="R151" s="148" t="s">
        <v>335</v>
      </c>
      <c r="S151" s="217">
        <f t="shared" ca="1" si="64"/>
        <v>957591.33599999989</v>
      </c>
      <c r="T151" s="4">
        <f t="shared" ca="1" si="65"/>
        <v>955728.76396974968</v>
      </c>
      <c r="U151" s="140">
        <f t="shared" si="67"/>
        <v>64614.799999999988</v>
      </c>
      <c r="X151" s="140"/>
    </row>
    <row r="152" spans="3:24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15" t="s">
        <v>505</v>
      </c>
      <c r="O152" s="215" t="s">
        <v>29</v>
      </c>
      <c r="P152" s="148" t="s">
        <v>5</v>
      </c>
      <c r="Q152" s="148" t="s">
        <v>200</v>
      </c>
      <c r="R152" s="148" t="s">
        <v>336</v>
      </c>
      <c r="S152" s="217">
        <f t="shared" ca="1" si="64"/>
        <v>11287.724054794518</v>
      </c>
      <c r="T152" s="4">
        <f t="shared" ca="1" si="65"/>
        <v>11265.768761007646</v>
      </c>
      <c r="U152" s="140">
        <f t="shared" si="67"/>
        <v>63.471232876712314</v>
      </c>
      <c r="X152" s="140"/>
    </row>
    <row r="153" spans="3:24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15" t="s">
        <v>505</v>
      </c>
      <c r="O153" s="215" t="s">
        <v>29</v>
      </c>
      <c r="P153" s="148" t="s">
        <v>5</v>
      </c>
      <c r="Q153" s="148" t="s">
        <v>195</v>
      </c>
      <c r="R153" s="148" t="s">
        <v>281</v>
      </c>
      <c r="S153" s="217">
        <f t="shared" ca="1" si="64"/>
        <v>1235393.8873333335</v>
      </c>
      <c r="T153" s="4">
        <f t="shared" ca="1" si="65"/>
        <v>1232619.4610647145</v>
      </c>
      <c r="U153" s="140">
        <f t="shared" si="67"/>
        <v>1187878.7378205128</v>
      </c>
      <c r="X153" s="140"/>
    </row>
    <row r="154" spans="3:24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15" t="s">
        <v>505</v>
      </c>
      <c r="O154" s="215" t="s">
        <v>29</v>
      </c>
      <c r="P154" s="148" t="s">
        <v>5</v>
      </c>
      <c r="Q154" s="148" t="s">
        <v>195</v>
      </c>
      <c r="R154" s="148" t="s">
        <v>283</v>
      </c>
      <c r="S154" s="217">
        <f t="shared" ca="1" si="64"/>
        <v>26583.414575342464</v>
      </c>
      <c r="T154" s="4">
        <f t="shared" ca="1" si="65"/>
        <v>26523.714001733002</v>
      </c>
      <c r="U154" s="140">
        <f t="shared" si="67"/>
        <v>2130.0812961011588</v>
      </c>
      <c r="X154" s="140"/>
    </row>
    <row r="155" spans="3:24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15" t="s">
        <v>505</v>
      </c>
      <c r="O155" s="215" t="s">
        <v>29</v>
      </c>
      <c r="P155" s="148" t="s">
        <v>5</v>
      </c>
      <c r="Q155" s="148" t="s">
        <v>195</v>
      </c>
      <c r="R155" s="148" t="s">
        <v>202</v>
      </c>
      <c r="S155" s="217">
        <f t="shared" ca="1" si="64"/>
        <v>2724849.07</v>
      </c>
      <c r="T155" s="4">
        <f t="shared" ca="1" si="65"/>
        <v>2718729.6509909341</v>
      </c>
      <c r="U155" s="140">
        <f t="shared" si="67"/>
        <v>715183.48293963249</v>
      </c>
      <c r="X155" s="140"/>
    </row>
    <row r="156" spans="3:24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15" t="s">
        <v>505</v>
      </c>
      <c r="O156" s="215" t="s">
        <v>29</v>
      </c>
      <c r="P156" s="148" t="s">
        <v>5</v>
      </c>
      <c r="Q156" s="148" t="s">
        <v>195</v>
      </c>
      <c r="R156" s="148" t="s">
        <v>396</v>
      </c>
      <c r="S156" s="217">
        <f t="shared" ca="1" si="64"/>
        <v>5092496.0903189806</v>
      </c>
      <c r="T156" s="4">
        <f t="shared" ca="1" si="65"/>
        <v>5083922.6171057299</v>
      </c>
      <c r="U156" s="140">
        <f t="shared" si="67"/>
        <v>40665144.85601677</v>
      </c>
      <c r="X156" s="140"/>
    </row>
    <row r="157" spans="3:24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15" t="s">
        <v>505</v>
      </c>
      <c r="O157" s="215" t="s">
        <v>29</v>
      </c>
      <c r="P157" s="148" t="s">
        <v>5</v>
      </c>
      <c r="Q157" s="148" t="s">
        <v>195</v>
      </c>
      <c r="R157" s="148" t="s">
        <v>394</v>
      </c>
      <c r="S157" s="217">
        <f t="shared" ca="1" si="64"/>
        <v>9747027.4146155789</v>
      </c>
      <c r="T157" s="4">
        <f t="shared" ca="1" si="65"/>
        <v>9729586.9587919172</v>
      </c>
      <c r="U157" s="140">
        <f t="shared" si="67"/>
        <v>84302260.980933905</v>
      </c>
      <c r="X157" s="140"/>
    </row>
    <row r="158" spans="3:24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15" t="s">
        <v>505</v>
      </c>
      <c r="O158" s="215" t="s">
        <v>29</v>
      </c>
      <c r="P158" s="148" t="s">
        <v>5</v>
      </c>
      <c r="Q158" s="148" t="s">
        <v>195</v>
      </c>
      <c r="R158" s="148" t="s">
        <v>397</v>
      </c>
      <c r="S158" s="217">
        <f t="shared" ca="1" si="64"/>
        <v>12266884.412729127</v>
      </c>
      <c r="T158" s="4">
        <f t="shared" ca="1" si="65"/>
        <v>12246166.507518668</v>
      </c>
      <c r="U158" s="140">
        <f>SUMIFS(S$8:S$51,P$8:P$51,P158,Q$8:Q$51,Q158,R$8:R$51,R158)+S30</f>
        <v>138561893.28735036</v>
      </c>
      <c r="X158" s="140"/>
    </row>
    <row r="159" spans="3:24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15" t="s">
        <v>505</v>
      </c>
      <c r="O159" s="215" t="s">
        <v>29</v>
      </c>
      <c r="P159" s="148" t="s">
        <v>5</v>
      </c>
      <c r="Q159" s="148" t="s">
        <v>195</v>
      </c>
      <c r="R159" s="148" t="s">
        <v>395</v>
      </c>
      <c r="S159" s="217">
        <f t="shared" ca="1" si="64"/>
        <v>19246511.392878208</v>
      </c>
      <c r="T159" s="4">
        <f t="shared" ca="1" si="65"/>
        <v>19211010.702242479</v>
      </c>
      <c r="U159" s="140">
        <f>SUMIFS(S$8:S$51,P$8:P$51,P159,Q$8:Q$51,Q159,R$8:R$51,R159)+S31</f>
        <v>243873687.18801582</v>
      </c>
      <c r="X159" s="140"/>
    </row>
    <row r="160" spans="3:24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15" t="s">
        <v>505</v>
      </c>
      <c r="O160" s="215" t="s">
        <v>29</v>
      </c>
      <c r="P160" s="148" t="s">
        <v>5</v>
      </c>
      <c r="Q160" s="148" t="s">
        <v>195</v>
      </c>
      <c r="R160" s="148" t="s">
        <v>201</v>
      </c>
      <c r="S160" s="217">
        <f t="shared" si="64"/>
        <v>63169.819999999992</v>
      </c>
      <c r="T160" s="4">
        <f t="shared" si="65"/>
        <v>63169.819999999992</v>
      </c>
      <c r="U160" s="140">
        <f>SUMIFS(S$8:S$51,P$8:P$51,P160,Q$8:Q$51,Q160,R$8:R$51,R160)</f>
        <v>108913.48275862068</v>
      </c>
      <c r="X160" s="140"/>
    </row>
    <row r="161" spans="3:24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15" t="s">
        <v>505</v>
      </c>
      <c r="O161" s="215" t="s">
        <v>29</v>
      </c>
      <c r="P161" s="148" t="s">
        <v>5</v>
      </c>
      <c r="Q161" s="148" t="s">
        <v>195</v>
      </c>
      <c r="R161" s="173" t="s">
        <v>367</v>
      </c>
      <c r="S161" s="217">
        <f t="shared" si="64"/>
        <v>-1043.94</v>
      </c>
      <c r="T161" s="4">
        <f t="shared" si="65"/>
        <v>-1043.9400000000003</v>
      </c>
      <c r="U161" s="140">
        <f>SUMIFS(S$8:S$51,P$8:P$51,P161,Q$8:Q$51,Q161,R$8:R$51,R161)</f>
        <v>104394</v>
      </c>
      <c r="X161" s="140"/>
    </row>
    <row r="162" spans="3:24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15" t="s">
        <v>505</v>
      </c>
      <c r="O162" s="215" t="s">
        <v>29</v>
      </c>
      <c r="P162" s="148" t="s">
        <v>5</v>
      </c>
      <c r="Q162" s="148" t="s">
        <v>195</v>
      </c>
      <c r="R162" s="173" t="s">
        <v>358</v>
      </c>
      <c r="S162" s="217">
        <f t="shared" si="64"/>
        <v>-1129.99</v>
      </c>
      <c r="T162" s="4">
        <f t="shared" si="65"/>
        <v>-1129.9900000000002</v>
      </c>
      <c r="U162" s="140">
        <f>SUMIFS(S$8:S$51,P$8:P$51,P162,Q$8:Q$51,Q162,R$8:R$51,R162)</f>
        <v>3766.6333333333332</v>
      </c>
      <c r="X162" s="140"/>
    </row>
    <row r="163" spans="3:24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15" t="s">
        <v>505</v>
      </c>
      <c r="O163" s="215" t="s">
        <v>29</v>
      </c>
      <c r="P163" s="148" t="s">
        <v>5</v>
      </c>
      <c r="Q163" s="148" t="s">
        <v>195</v>
      </c>
      <c r="R163" s="173" t="s">
        <v>368</v>
      </c>
      <c r="S163" s="217">
        <f t="shared" si="64"/>
        <v>7924</v>
      </c>
      <c r="T163" s="4">
        <f t="shared" si="65"/>
        <v>7924</v>
      </c>
      <c r="U163" s="140">
        <f>SUMIFS(S$8:S$51,P$8:P$51,P163,Q$8:Q$51,Q163,R$8:R$51,R163)</f>
        <v>132.06666666666666</v>
      </c>
      <c r="X163" s="140"/>
    </row>
    <row r="164" spans="3:24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16" t="s">
        <v>505</v>
      </c>
      <c r="O164" s="216" t="s">
        <v>29</v>
      </c>
      <c r="P164" s="151" t="s">
        <v>5</v>
      </c>
      <c r="Q164" s="151" t="s">
        <v>195</v>
      </c>
      <c r="R164" s="427" t="s">
        <v>168</v>
      </c>
      <c r="S164" s="218">
        <f t="shared" si="64"/>
        <v>753527.61020262272</v>
      </c>
      <c r="T164" s="4">
        <f t="shared" si="65"/>
        <v>753527.61020262272</v>
      </c>
      <c r="U164" s="140"/>
      <c r="X164" s="140"/>
    </row>
    <row r="165" spans="3:24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19" t="s">
        <v>505</v>
      </c>
      <c r="O165" s="219" t="s">
        <v>29</v>
      </c>
      <c r="P165" s="146" t="s">
        <v>7</v>
      </c>
      <c r="Q165" s="146" t="s">
        <v>199</v>
      </c>
      <c r="R165" s="146" t="s">
        <v>335</v>
      </c>
      <c r="S165" s="220">
        <f t="shared" ca="1" si="64"/>
        <v>20521.461333333333</v>
      </c>
      <c r="T165" s="4">
        <f t="shared" ca="1" si="65"/>
        <v>20482.555105203886</v>
      </c>
      <c r="U165" s="140">
        <f t="shared" ref="U165:U173" si="68">SUMIFS(S$8:S$51,P$8:P$51,P165,Q$8:Q$51,Q165,R$8:R$51,R165)</f>
        <v>2064.5333333333333</v>
      </c>
      <c r="X165" s="140"/>
    </row>
    <row r="166" spans="3:24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15" t="s">
        <v>505</v>
      </c>
      <c r="O166" s="215" t="s">
        <v>29</v>
      </c>
      <c r="P166" s="148" t="s">
        <v>7</v>
      </c>
      <c r="Q166" s="148" t="s">
        <v>199</v>
      </c>
      <c r="R166" s="148" t="s">
        <v>336</v>
      </c>
      <c r="S166" s="217">
        <f t="shared" ca="1" si="64"/>
        <v>0</v>
      </c>
      <c r="T166" s="4">
        <f t="shared" ca="1" si="65"/>
        <v>0</v>
      </c>
      <c r="U166" s="140">
        <f t="shared" si="68"/>
        <v>0</v>
      </c>
      <c r="X166" s="140"/>
    </row>
    <row r="167" spans="3:24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15" t="s">
        <v>505</v>
      </c>
      <c r="O167" s="215" t="s">
        <v>29</v>
      </c>
      <c r="P167" s="148" t="s">
        <v>7</v>
      </c>
      <c r="Q167" s="148" t="s">
        <v>200</v>
      </c>
      <c r="R167" s="148" t="s">
        <v>335</v>
      </c>
      <c r="S167" s="217">
        <f t="shared" ca="1" si="64"/>
        <v>41734.108</v>
      </c>
      <c r="T167" s="4">
        <f t="shared" ca="1" si="65"/>
        <v>41652.932680898914</v>
      </c>
      <c r="U167" s="140">
        <f t="shared" si="68"/>
        <v>2816.0666666666666</v>
      </c>
      <c r="X167" s="140"/>
    </row>
    <row r="168" spans="3:24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15" t="s">
        <v>505</v>
      </c>
      <c r="O168" s="215" t="s">
        <v>29</v>
      </c>
      <c r="P168" s="148" t="s">
        <v>7</v>
      </c>
      <c r="Q168" s="148" t="s">
        <v>200</v>
      </c>
      <c r="R168" s="148" t="s">
        <v>336</v>
      </c>
      <c r="S168" s="217">
        <f t="shared" ca="1" si="64"/>
        <v>177.84</v>
      </c>
      <c r="T168" s="4">
        <f t="shared" ca="1" si="65"/>
        <v>177.49409063615454</v>
      </c>
      <c r="U168" s="140">
        <f t="shared" si="68"/>
        <v>1</v>
      </c>
      <c r="X168" s="140"/>
    </row>
    <row r="169" spans="3:24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15" t="s">
        <v>505</v>
      </c>
      <c r="O169" s="215" t="s">
        <v>29</v>
      </c>
      <c r="P169" s="148" t="s">
        <v>7</v>
      </c>
      <c r="Q169" s="148" t="s">
        <v>195</v>
      </c>
      <c r="R169" s="148" t="s">
        <v>281</v>
      </c>
      <c r="S169" s="217">
        <f t="shared" ca="1" si="64"/>
        <v>52588.87</v>
      </c>
      <c r="T169" s="4">
        <f t="shared" ca="1" si="65"/>
        <v>52470.766823465812</v>
      </c>
      <c r="U169" s="140">
        <f t="shared" si="68"/>
        <v>50566.221153846156</v>
      </c>
      <c r="X169" s="140"/>
    </row>
    <row r="170" spans="3:24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15" t="s">
        <v>505</v>
      </c>
      <c r="O170" s="215" t="s">
        <v>29</v>
      </c>
      <c r="P170" s="148" t="s">
        <v>7</v>
      </c>
      <c r="Q170" s="148" t="s">
        <v>195</v>
      </c>
      <c r="R170" s="148" t="s">
        <v>283</v>
      </c>
      <c r="S170" s="217">
        <f t="shared" ca="1" si="64"/>
        <v>698.87635616438354</v>
      </c>
      <c r="T170" s="4">
        <f t="shared" ca="1" si="65"/>
        <v>697.30683170668635</v>
      </c>
      <c r="U170" s="140">
        <f t="shared" si="68"/>
        <v>55.99970802599227</v>
      </c>
      <c r="X170" s="140"/>
    </row>
    <row r="171" spans="3:24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15" t="s">
        <v>505</v>
      </c>
      <c r="O171" s="215" t="s">
        <v>29</v>
      </c>
      <c r="P171" s="148" t="s">
        <v>7</v>
      </c>
      <c r="Q171" s="148" t="s">
        <v>195</v>
      </c>
      <c r="R171" s="148" t="s">
        <v>202</v>
      </c>
      <c r="S171" s="217">
        <f t="shared" ca="1" si="64"/>
        <v>125179.59</v>
      </c>
      <c r="T171" s="4">
        <f t="shared" ca="1" si="65"/>
        <v>124898.46383744411</v>
      </c>
      <c r="U171" s="140">
        <f t="shared" si="68"/>
        <v>32855.535433070865</v>
      </c>
      <c r="X171" s="140"/>
    </row>
    <row r="172" spans="3:24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15" t="s">
        <v>505</v>
      </c>
      <c r="O172" s="215" t="s">
        <v>29</v>
      </c>
      <c r="P172" s="148" t="s">
        <v>7</v>
      </c>
      <c r="Q172" s="148" t="s">
        <v>195</v>
      </c>
      <c r="R172" s="148" t="s">
        <v>396</v>
      </c>
      <c r="S172" s="217">
        <f t="shared" ca="1" si="64"/>
        <v>123184.55486702597</v>
      </c>
      <c r="T172" s="4">
        <f t="shared" ca="1" si="65"/>
        <v>122977.16747532108</v>
      </c>
      <c r="U172" s="140">
        <f t="shared" si="68"/>
        <v>983666.49258984241</v>
      </c>
      <c r="X172" s="140"/>
    </row>
    <row r="173" spans="3:24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15" t="s">
        <v>505</v>
      </c>
      <c r="O173" s="215" t="s">
        <v>29</v>
      </c>
      <c r="P173" s="148" t="s">
        <v>7</v>
      </c>
      <c r="Q173" s="148" t="s">
        <v>195</v>
      </c>
      <c r="R173" s="148" t="s">
        <v>394</v>
      </c>
      <c r="S173" s="217">
        <f t="shared" ca="1" si="64"/>
        <v>225832.03536364128</v>
      </c>
      <c r="T173" s="4">
        <f t="shared" ca="1" si="65"/>
        <v>225427.95179346262</v>
      </c>
      <c r="U173" s="140">
        <f t="shared" si="68"/>
        <v>1953226.3913132786</v>
      </c>
      <c r="X173" s="140"/>
    </row>
    <row r="174" spans="3:24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15" t="s">
        <v>505</v>
      </c>
      <c r="O174" s="215" t="s">
        <v>29</v>
      </c>
      <c r="P174" s="148" t="s">
        <v>7</v>
      </c>
      <c r="Q174" s="148" t="s">
        <v>195</v>
      </c>
      <c r="R174" s="148" t="s">
        <v>397</v>
      </c>
      <c r="S174" s="217">
        <f t="shared" ca="1" si="64"/>
        <v>350495.43462347501</v>
      </c>
      <c r="T174" s="4">
        <f t="shared" ca="1" si="65"/>
        <v>349903.47247995861</v>
      </c>
      <c r="U174" s="140">
        <f>SUMIFS(S$8:S$51,P$8:P$51,P174,Q$8:Q$51,Q174,R$8:R$51,R174)+S46</f>
        <v>3959058.3375519603</v>
      </c>
      <c r="X174" s="140"/>
    </row>
    <row r="175" spans="3:24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15" t="s">
        <v>505</v>
      </c>
      <c r="O175" s="215" t="s">
        <v>29</v>
      </c>
      <c r="P175" s="148" t="s">
        <v>7</v>
      </c>
      <c r="Q175" s="148" t="s">
        <v>195</v>
      </c>
      <c r="R175" s="148" t="s">
        <v>395</v>
      </c>
      <c r="S175" s="217">
        <f t="shared" ca="1" si="64"/>
        <v>647642.30554463936</v>
      </c>
      <c r="T175" s="4">
        <f t="shared" ca="1" si="65"/>
        <v>646447.71247463196</v>
      </c>
      <c r="U175" s="140">
        <f>SUMIFS(S$8:S$51,P$8:P$51,P175,Q$8:Q$51,Q175,R$8:R$51,R175)+S47</f>
        <v>8206314.0591059215</v>
      </c>
      <c r="X175" s="140"/>
    </row>
    <row r="176" spans="3:24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15" t="s">
        <v>505</v>
      </c>
      <c r="O176" s="215" t="s">
        <v>29</v>
      </c>
      <c r="P176" s="148" t="s">
        <v>7</v>
      </c>
      <c r="Q176" s="148" t="s">
        <v>195</v>
      </c>
      <c r="R176" s="148" t="s">
        <v>201</v>
      </c>
      <c r="S176" s="217">
        <f t="shared" si="64"/>
        <v>8380.4699999999993</v>
      </c>
      <c r="T176" s="4">
        <f t="shared" si="65"/>
        <v>8380.4699999999993</v>
      </c>
      <c r="U176" s="140">
        <f>SUMIFS(S$8:S$51,P$8:P$51,P176,Q$8:Q$51,Q176,R$8:R$51,R176)</f>
        <v>14449.086206896553</v>
      </c>
      <c r="X176" s="140"/>
    </row>
    <row r="177" spans="3:27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15" t="s">
        <v>505</v>
      </c>
      <c r="O177" s="215" t="s">
        <v>29</v>
      </c>
      <c r="P177" s="148" t="s">
        <v>7</v>
      </c>
      <c r="Q177" s="148" t="s">
        <v>195</v>
      </c>
      <c r="R177" s="173" t="s">
        <v>367</v>
      </c>
      <c r="S177" s="217">
        <f t="shared" si="64"/>
        <v>-119.42</v>
      </c>
      <c r="T177" s="4">
        <f t="shared" si="65"/>
        <v>-119.42000000000003</v>
      </c>
      <c r="U177" s="140">
        <f>SUMIFS(S$8:S$51,P$8:P$51,P177,Q$8:Q$51,Q177,R$8:R$51,R177)</f>
        <v>11942</v>
      </c>
      <c r="X177" s="140"/>
    </row>
    <row r="178" spans="3:27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15" t="s">
        <v>505</v>
      </c>
      <c r="O178" s="215" t="s">
        <v>29</v>
      </c>
      <c r="P178" s="148" t="s">
        <v>7</v>
      </c>
      <c r="Q178" s="148" t="s">
        <v>195</v>
      </c>
      <c r="R178" s="173" t="s">
        <v>358</v>
      </c>
      <c r="S178" s="217">
        <f t="shared" si="64"/>
        <v>-146.76</v>
      </c>
      <c r="T178" s="4">
        <f t="shared" si="65"/>
        <v>-146.76000000000002</v>
      </c>
      <c r="U178" s="140">
        <f>SUMIFS(S$8:S$51,P$8:P$51,P178,Q$8:Q$51,Q178,R$8:R$51,R178)</f>
        <v>489.2</v>
      </c>
      <c r="X178" s="140"/>
    </row>
    <row r="179" spans="3:27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15" t="s">
        <v>505</v>
      </c>
      <c r="O179" s="215" t="s">
        <v>29</v>
      </c>
      <c r="P179" s="148" t="s">
        <v>7</v>
      </c>
      <c r="Q179" s="148" t="s">
        <v>195</v>
      </c>
      <c r="R179" s="173" t="s">
        <v>368</v>
      </c>
      <c r="S179" s="217">
        <f t="shared" si="64"/>
        <v>1556</v>
      </c>
      <c r="T179" s="4">
        <f t="shared" si="65"/>
        <v>1556</v>
      </c>
      <c r="U179" s="140">
        <f>SUMIFS(S$8:S$51,P$8:P$51,P179,Q$8:Q$51,Q179,R$8:R$51,R179)</f>
        <v>25.933333333333334</v>
      </c>
      <c r="X179" s="140"/>
    </row>
    <row r="180" spans="3:27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16" t="s">
        <v>505</v>
      </c>
      <c r="O180" s="216" t="s">
        <v>29</v>
      </c>
      <c r="P180" s="151" t="s">
        <v>7</v>
      </c>
      <c r="Q180" s="151" t="s">
        <v>195</v>
      </c>
      <c r="R180" s="427" t="s">
        <v>168</v>
      </c>
      <c r="S180" s="218">
        <f t="shared" si="64"/>
        <v>30849.452456491777</v>
      </c>
      <c r="T180" s="4">
        <f t="shared" si="65"/>
        <v>30849.452456491777</v>
      </c>
      <c r="U180" s="140">
        <f>SUMIFS(S$8:S$51,P$8:P$51,P180,Q$8:Q$51,Q180,R$8:R$51,R180)</f>
        <v>0</v>
      </c>
      <c r="X180" s="140"/>
    </row>
    <row r="181" spans="3:27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309" t="s">
        <v>540</v>
      </c>
      <c r="O181" s="264" t="s">
        <v>29</v>
      </c>
      <c r="P181" s="219" t="s">
        <v>195</v>
      </c>
      <c r="Q181" s="219" t="s">
        <v>195</v>
      </c>
      <c r="R181" s="219" t="s">
        <v>195</v>
      </c>
      <c r="S181" s="220">
        <f ca="1">'Cost of Service and Proposed $'!V123</f>
        <v>3276320.0067990818</v>
      </c>
      <c r="U181" s="81"/>
      <c r="V181" s="159"/>
    </row>
    <row r="182" spans="3:27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310" t="s">
        <v>626</v>
      </c>
      <c r="O182" s="265" t="s">
        <v>29</v>
      </c>
      <c r="P182" s="216" t="s">
        <v>195</v>
      </c>
      <c r="Q182" s="216" t="s">
        <v>195</v>
      </c>
      <c r="R182" s="216" t="s">
        <v>195</v>
      </c>
      <c r="S182" s="218">
        <f ca="1">'Cost of Service and Proposed $'!V128-'Cost of Service and Proposed $'!V123</f>
        <v>58370507.281051755</v>
      </c>
      <c r="U182" s="81"/>
      <c r="V182" s="159"/>
    </row>
    <row r="183" spans="3:27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328" t="s">
        <v>535</v>
      </c>
      <c r="O183" s="331" t="s">
        <v>29</v>
      </c>
      <c r="P183" s="219" t="s">
        <v>195</v>
      </c>
      <c r="Q183" s="219" t="s">
        <v>195</v>
      </c>
      <c r="R183" s="219" t="s">
        <v>335</v>
      </c>
      <c r="S183" s="220">
        <f ca="1">(T183*(U183-V183)+V183*100)/100</f>
        <v>3031050.9881440331</v>
      </c>
      <c r="T183" s="333">
        <f t="shared" ref="T183:T191" si="69">$T$106</f>
        <v>10</v>
      </c>
      <c r="U183" s="158">
        <f ca="1">S181*(1-SUM(U187:U191)/SUM(S181:S182))</f>
        <v>3225523.4416939565</v>
      </c>
      <c r="V183" s="140" cm="1">
        <f t="array" aca="1" ref="V183" ca="1">SUM(SUMIFS(S$133:S$180,R$133:R$180,{"Bill","Annual Bill"}))/SUM(SUMIFS(S$133:S$180,R$133:R$180,{"Bill","Annual Bill","Load Size kW","Annual Load Size kW","kW","kWh*"}))*(SUM(S181:S182)-SUM(V187:V191))</f>
        <v>3009442.9377495968</v>
      </c>
    </row>
    <row r="184" spans="3:27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329" t="s">
        <v>535</v>
      </c>
      <c r="O184" s="302" t="s">
        <v>29</v>
      </c>
      <c r="P184" s="215" t="s">
        <v>195</v>
      </c>
      <c r="Q184" s="215" t="s">
        <v>195</v>
      </c>
      <c r="R184" s="215" t="s">
        <v>281</v>
      </c>
      <c r="S184" s="217">
        <f t="shared" ref="S184:S191" ca="1" si="70">(T184*(U184-V184)+V184*100)/100</f>
        <v>1425898.2536707383</v>
      </c>
      <c r="T184" s="333">
        <f t="shared" si="69"/>
        <v>10</v>
      </c>
      <c r="U184" s="158" cm="1">
        <f t="array" aca="1" ref="U184" ca="1">S182*SUM(SUMIFS(S$133:S$180,R$133:R$180,{"Load Size kW","Annual Load Size kW"}))/SUM(SUMIFS(S$133:S$180,R$133:R$180,{"Load Size kW","Annual Load Size kW","kW","kWh*"}))*(1-SUM(U187:U191)/SUM(S181:S182))</f>
        <v>1421089.0625778134</v>
      </c>
      <c r="V184" s="140" cm="1">
        <f t="array" aca="1" ref="V184" ca="1">SUM(SUMIFS(S$133:S$180,R$133:R$180,{"Load Size kW","Annual Load Size kW"}))/SUM(SUMIFS(S$133:S$180,R$133:R$180,{"Bill","Annual Bill","Load Size kW","Annual Load Size kW","kW","kWh*"}))*(SUM(S181:S182)-SUM(V187:V191))</f>
        <v>1426432.608236619</v>
      </c>
    </row>
    <row r="185" spans="3:27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329" t="s">
        <v>535</v>
      </c>
      <c r="O185" s="302" t="s">
        <v>29</v>
      </c>
      <c r="P185" s="215" t="s">
        <v>195</v>
      </c>
      <c r="Q185" s="215" t="s">
        <v>195</v>
      </c>
      <c r="R185" s="215" t="s">
        <v>202</v>
      </c>
      <c r="S185" s="217">
        <f t="shared" ca="1" si="70"/>
        <v>3089727.4496047003</v>
      </c>
      <c r="T185" s="333">
        <f t="shared" si="69"/>
        <v>10</v>
      </c>
      <c r="U185" s="158" cm="1">
        <f t="array" aca="1" ref="U185" ca="1">S182*SUM(SUMIFS(S$133:S$180,R$133:R$180,{"kW"}))/SUM(SUMIFS(S$133:S$180,R$133:R$180,{"Load Size kW","Annual Load Size kW","kW","kWh*"}))*(1-SUM(U187:U191)/SUM(S181:S182))</f>
        <v>3079306.5870417836</v>
      </c>
      <c r="V185" s="140" cm="1">
        <f t="array" aca="1" ref="V185" ca="1">SUM(SUMIFS(S$133:S$180,R$133:R$180,{"kW"}))/SUM(SUMIFS(S$133:S$180,R$133:R$180,{"Bill","Annual Bill","Load Size kW","Annual Load Size kW","kW","kWh*"}))*(SUM(S181:S182)-SUM(V187:V191))</f>
        <v>3090885.323222802</v>
      </c>
    </row>
    <row r="186" spans="3:27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329" t="s">
        <v>535</v>
      </c>
      <c r="O186" s="302" t="s">
        <v>29</v>
      </c>
      <c r="P186" s="215" t="s">
        <v>195</v>
      </c>
      <c r="Q186" s="215" t="s">
        <v>195</v>
      </c>
      <c r="R186" s="215" t="s">
        <v>6</v>
      </c>
      <c r="S186" s="217">
        <f t="shared" ca="1" si="70"/>
        <v>53144368.783496954</v>
      </c>
      <c r="T186" s="333">
        <f t="shared" si="69"/>
        <v>10</v>
      </c>
      <c r="U186" s="158" cm="1">
        <f t="array" aca="1" ref="U186" ca="1">S182*SUM(SUMIFS(S$133:S$180,R$133:R$180,{"kWh*"}))/SUM(SUMIFS(S$133:S$180,R$133:R$180,{"Load Size kW","Annual Load Size kW","kW","kWh*"}))*(1-SUM(U187:U191)/SUM(S181:S182))</f>
        <v>52965126.383602872</v>
      </c>
      <c r="V186" s="140" cm="1">
        <f t="array" aca="1" ref="V186" ca="1">SUM(SUMIFS(S$133:S$180,R$133:R$180,{"kWh*"}))/SUM(SUMIFS(S$133:S$180,R$133:R$180,{"Bill","Annual Bill","Load Size kW","Annual Load Size kW","kW","kWh*"}))*(SUM(S181:S182)-SUM(V187:V191))</f>
        <v>53164284.605707407</v>
      </c>
    </row>
    <row r="187" spans="3:27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329" t="s">
        <v>535</v>
      </c>
      <c r="O187" s="302" t="s">
        <v>29</v>
      </c>
      <c r="P187" s="215" t="s">
        <v>195</v>
      </c>
      <c r="Q187" s="215" t="s">
        <v>195</v>
      </c>
      <c r="R187" s="148" t="s">
        <v>201</v>
      </c>
      <c r="S187" s="217">
        <f t="shared" si="70"/>
        <v>71615.829999999987</v>
      </c>
      <c r="T187" s="333">
        <f t="shared" si="69"/>
        <v>10</v>
      </c>
      <c r="U187" s="158">
        <f>SUMIFS(S$66:S$103,R$66:R$103,R187)</f>
        <v>71615.829999999987</v>
      </c>
      <c r="V187" s="140">
        <f>SUMIFS(S$66:S$103,R$66:R$103,R187)</f>
        <v>71615.829999999987</v>
      </c>
    </row>
    <row r="188" spans="3:27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329" t="s">
        <v>535</v>
      </c>
      <c r="O188" s="302" t="s">
        <v>29</v>
      </c>
      <c r="P188" s="215" t="s">
        <v>195</v>
      </c>
      <c r="Q188" s="215" t="s">
        <v>195</v>
      </c>
      <c r="R188" s="173" t="s">
        <v>367</v>
      </c>
      <c r="S188" s="217">
        <f t="shared" si="70"/>
        <v>-1163.3600000000001</v>
      </c>
      <c r="T188" s="333">
        <f t="shared" si="69"/>
        <v>10</v>
      </c>
      <c r="U188" s="158">
        <f>SUMIFS(S$66:S$103,R$66:R$103,R188)</f>
        <v>-1163.3600000000001</v>
      </c>
      <c r="V188" s="140">
        <f>SUMIFS(S$66:S$103,R$66:R$103,R188)</f>
        <v>-1163.3600000000001</v>
      </c>
    </row>
    <row r="189" spans="3:27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329" t="s">
        <v>535</v>
      </c>
      <c r="O189" s="302" t="s">
        <v>29</v>
      </c>
      <c r="P189" s="215" t="s">
        <v>195</v>
      </c>
      <c r="Q189" s="215" t="s">
        <v>195</v>
      </c>
      <c r="R189" s="173" t="s">
        <v>358</v>
      </c>
      <c r="S189" s="217">
        <f t="shared" si="70"/>
        <v>-1276.75</v>
      </c>
      <c r="T189" s="333">
        <f t="shared" si="69"/>
        <v>10</v>
      </c>
      <c r="U189" s="158">
        <f>SUMIFS(S$66:S$103,R$66:R$103,R189)</f>
        <v>-1276.75</v>
      </c>
      <c r="V189" s="140">
        <f>SUMIFS(S$66:S$103,R$66:R$103,R189)</f>
        <v>-1276.75</v>
      </c>
    </row>
    <row r="190" spans="3:27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29" t="s">
        <v>535</v>
      </c>
      <c r="O190" s="302" t="s">
        <v>29</v>
      </c>
      <c r="P190" s="215" t="s">
        <v>195</v>
      </c>
      <c r="Q190" s="215" t="s">
        <v>195</v>
      </c>
      <c r="R190" s="173" t="s">
        <v>368</v>
      </c>
      <c r="S190" s="217">
        <f t="shared" si="70"/>
        <v>9480</v>
      </c>
      <c r="T190" s="333">
        <f t="shared" si="69"/>
        <v>10</v>
      </c>
      <c r="U190" s="158">
        <f>SUMIFS(S$66:S$103,R$66:R$103,R190)</f>
        <v>9480</v>
      </c>
      <c r="V190" s="140">
        <f>SUMIFS(S$66:S$103,R$66:R$103,R190)</f>
        <v>9480</v>
      </c>
    </row>
    <row r="191" spans="3:27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30" t="s">
        <v>535</v>
      </c>
      <c r="O191" s="306" t="s">
        <v>29</v>
      </c>
      <c r="P191" s="216" t="s">
        <v>195</v>
      </c>
      <c r="Q191" s="216" t="s">
        <v>195</v>
      </c>
      <c r="R191" s="216" t="s">
        <v>168</v>
      </c>
      <c r="S191" s="218">
        <f t="shared" si="70"/>
        <v>877126.09293441684</v>
      </c>
      <c r="T191" s="333">
        <f t="shared" si="69"/>
        <v>10</v>
      </c>
      <c r="U191" s="158">
        <f>SUMIFS(S$66:S$103,R$66:R$103,R191)</f>
        <v>877126.09293441684</v>
      </c>
      <c r="V191" s="140">
        <f>SUMIFS(S$66:S$103,R$66:R$103,R191)</f>
        <v>877126.09293441684</v>
      </c>
    </row>
    <row r="192" spans="3:27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19" t="s">
        <v>506</v>
      </c>
      <c r="O192" s="219" t="s">
        <v>403</v>
      </c>
      <c r="P192" s="219" t="s">
        <v>195</v>
      </c>
      <c r="Q192" s="146" t="s">
        <v>199</v>
      </c>
      <c r="R192" s="543" t="s">
        <v>335</v>
      </c>
      <c r="S192" s="323">
        <f t="shared" ref="S192:S202" ca="1" si="71">ROUND(T192/100*W192*X192/Y192/Z192+AB192,U192)*AA192</f>
        <v>10.67</v>
      </c>
      <c r="T192" s="439">
        <f>100+Summary!$R$9</f>
        <v>100.175</v>
      </c>
      <c r="U192" s="158">
        <v>2</v>
      </c>
      <c r="V192" s="278">
        <f ca="1">W192*X192/Y192/Z192*AA192+AB192</f>
        <v>10.65076350240059</v>
      </c>
      <c r="W192" s="4">
        <f ca="1">S$183</f>
        <v>3031050.9881440331</v>
      </c>
      <c r="X192" s="140">
        <f ca="1">SUMIFS(S$133:S$180,Q$133:Q$180,Q192,R$133:R$180,R192)+SUMIFS(S$133:S$180,Q$133:Q$180,Q193,R$133:R$180,R193)</f>
        <v>1777711.2980730594</v>
      </c>
      <c r="Y192" s="140" cm="1">
        <f t="array" aca="1" ref="Y192" ca="1">SUM(SUMIFS(S$133:S$180,R$133:R$180,{"Bill","Annual Bill"}))</f>
        <v>2828778.126127854</v>
      </c>
      <c r="Z192" s="140">
        <f>SUMIFS(S$8:S$51,Q$8:Q$51,Q192,R$8:R$51,R192)*AA192+SUMIFS(S$8:S$51,Q$8:Q$51,Q193,R$8:R$51,R193)*AA193</f>
        <v>178844.19497716898</v>
      </c>
      <c r="AA192" s="140">
        <v>1</v>
      </c>
    </row>
    <row r="193" spans="3:3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15" t="s">
        <v>506</v>
      </c>
      <c r="O193" s="215" t="s">
        <v>403</v>
      </c>
      <c r="P193" s="215" t="s">
        <v>195</v>
      </c>
      <c r="Q193" s="148" t="s">
        <v>199</v>
      </c>
      <c r="R193" s="544" t="s">
        <v>336</v>
      </c>
      <c r="S193" s="324">
        <f t="shared" ca="1" si="71"/>
        <v>128.04</v>
      </c>
      <c r="T193" s="439">
        <f>100+Summary!$R$9</f>
        <v>100.175</v>
      </c>
      <c r="U193" s="158">
        <v>2</v>
      </c>
      <c r="V193" s="278">
        <f t="shared" ref="V193:V209" ca="1" si="72">W193*X193/Y193/Z193*AA193+AB193</f>
        <v>127.80916202880708</v>
      </c>
      <c r="W193" s="4">
        <f ca="1">S$183</f>
        <v>3031050.9881440331</v>
      </c>
      <c r="X193" s="140">
        <f ca="1">SUMIFS(S$133:S$180,Q$133:Q$180,Q192,R$133:R$180,R192)+SUMIFS(S$133:S$180,Q$133:Q$180,Q193,R$133:R$180,R193)</f>
        <v>1777711.2980730594</v>
      </c>
      <c r="Y193" s="140" cm="1">
        <f t="array" aca="1" ref="Y193" ca="1">SUM(SUMIFS(S$133:S$180,R$133:R$180,{"Bill","Annual Bill"}))</f>
        <v>2828778.126127854</v>
      </c>
      <c r="Z193" s="140">
        <f>SUMIFS(S$8:S$51,Q$8:Q$51,Q192,R$8:R$51,R192)*AA192+SUMIFS(S$8:S$51,Q$8:Q$51,Q193,R$8:R$51,R193)*AA193</f>
        <v>178844.19497716898</v>
      </c>
      <c r="AA193" s="140">
        <v>12</v>
      </c>
    </row>
    <row r="194" spans="3:3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15" t="s">
        <v>506</v>
      </c>
      <c r="O194" s="215" t="s">
        <v>403</v>
      </c>
      <c r="P194" s="215" t="s">
        <v>195</v>
      </c>
      <c r="Q194" s="148" t="s">
        <v>200</v>
      </c>
      <c r="R194" s="544" t="s">
        <v>335</v>
      </c>
      <c r="S194" s="324">
        <f t="shared" ca="1" si="71"/>
        <v>15.91</v>
      </c>
      <c r="T194" s="439">
        <f>100+Summary!$R$9</f>
        <v>100.175</v>
      </c>
      <c r="U194" s="158">
        <v>2</v>
      </c>
      <c r="V194" s="278">
        <f t="shared" ca="1" si="72"/>
        <v>15.879709769172717</v>
      </c>
      <c r="W194" s="4">
        <f ca="1">S$183</f>
        <v>3031050.9881440331</v>
      </c>
      <c r="X194" s="140">
        <f ca="1">SUMIFS(S$133:S$180,Q$133:Q$180,Q194,R$133:R$180,R194)+SUMIFS(S$133:S$180,Q$133:Q$180,Q195,R$133:R$180,R195)</f>
        <v>1051066.8280547946</v>
      </c>
      <c r="Y194" s="140" cm="1">
        <f t="array" aca="1" ref="Y194" ca="1">SUM(SUMIFS(S$133:S$180,R$133:R$180,{"Bill","Annual Bill"}))</f>
        <v>2828778.126127854</v>
      </c>
      <c r="Z194" s="140">
        <f>SUMIFS(S$8:S$51,Q$8:Q$51,Q194,R$8:R$51,R194)*AA194+SUMIFS(S$8:S$51,Q$8:Q$51,Q195,R$8:R$51,R195)*AA195</f>
        <v>70922.188127853879</v>
      </c>
      <c r="AA194" s="140">
        <v>1</v>
      </c>
    </row>
    <row r="195" spans="3:3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15" t="s">
        <v>506</v>
      </c>
      <c r="O195" s="215" t="s">
        <v>403</v>
      </c>
      <c r="P195" s="215" t="s">
        <v>195</v>
      </c>
      <c r="Q195" s="148" t="s">
        <v>200</v>
      </c>
      <c r="R195" s="544" t="s">
        <v>336</v>
      </c>
      <c r="S195" s="324">
        <f t="shared" ca="1" si="71"/>
        <v>190.92000000000002</v>
      </c>
      <c r="T195" s="439">
        <f>100+Summary!$R$9</f>
        <v>100.175</v>
      </c>
      <c r="U195" s="158">
        <v>2</v>
      </c>
      <c r="V195" s="278">
        <f t="shared" ca="1" si="72"/>
        <v>190.55651723007259</v>
      </c>
      <c r="W195" s="4">
        <f ca="1">S$183</f>
        <v>3031050.9881440331</v>
      </c>
      <c r="X195" s="140">
        <f ca="1">SUMIFS(S$133:S$180,Q$133:Q$180,Q194,R$133:R$180,R194)+SUMIFS(S$133:S$180,Q$133:Q$180,Q195,R$133:R$180,R195)</f>
        <v>1051066.8280547946</v>
      </c>
      <c r="Y195" s="140" cm="1">
        <f t="array" aca="1" ref="Y195" ca="1">SUM(SUMIFS(S$133:S$180,R$133:R$180,{"Bill","Annual Bill"}))</f>
        <v>2828778.126127854</v>
      </c>
      <c r="Z195" s="140">
        <f>SUMIFS(S$8:S$51,Q$8:Q$51,Q194,R$8:R$51,R194)*AA194+SUMIFS(S$8:S$51,Q$8:Q$51,Q195,R$8:R$51,R195)*AA195</f>
        <v>70922.188127853879</v>
      </c>
      <c r="AA195" s="140">
        <v>12</v>
      </c>
    </row>
    <row r="196" spans="3:3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15" t="s">
        <v>506</v>
      </c>
      <c r="O196" s="215" t="s">
        <v>403</v>
      </c>
      <c r="P196" s="215" t="s">
        <v>195</v>
      </c>
      <c r="Q196" s="148" t="s">
        <v>195</v>
      </c>
      <c r="R196" s="544" t="s">
        <v>281</v>
      </c>
      <c r="S196" s="324">
        <f t="shared" ca="1" si="71"/>
        <v>1.1100000000000001</v>
      </c>
      <c r="T196" s="439">
        <f>100+Summary!$R$9</f>
        <v>100.175</v>
      </c>
      <c r="U196" s="158">
        <v>2</v>
      </c>
      <c r="V196" s="278">
        <f t="shared" ca="1" si="72"/>
        <v>1.1060069247623563</v>
      </c>
      <c r="W196" s="4">
        <f ca="1">S$184</f>
        <v>1425898.2536707383</v>
      </c>
      <c r="X196" s="140">
        <v>1</v>
      </c>
      <c r="Y196" s="140">
        <v>1</v>
      </c>
      <c r="Z196" s="140">
        <f>SUMIFS(S$8:S$51,R$8:R$51,R196)*AA196+SUMIFS(S$8:S$51,R$8:R$51,R197)*AA197</f>
        <v>1289230.8553828592</v>
      </c>
      <c r="AA196" s="140">
        <v>1</v>
      </c>
    </row>
    <row r="197" spans="3:3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15" t="s">
        <v>506</v>
      </c>
      <c r="O197" s="215" t="s">
        <v>403</v>
      </c>
      <c r="P197" s="215" t="s">
        <v>195</v>
      </c>
      <c r="Q197" s="148" t="s">
        <v>195</v>
      </c>
      <c r="R197" s="544" t="s">
        <v>283</v>
      </c>
      <c r="S197" s="324">
        <f t="shared" ca="1" si="71"/>
        <v>13.32</v>
      </c>
      <c r="T197" s="439">
        <f>100+Summary!$R$9</f>
        <v>100.175</v>
      </c>
      <c r="U197" s="158">
        <v>2</v>
      </c>
      <c r="V197" s="278">
        <f t="shared" ca="1" si="72"/>
        <v>13.272083097148275</v>
      </c>
      <c r="W197" s="4">
        <f ca="1">S$184</f>
        <v>1425898.2536707383</v>
      </c>
      <c r="X197" s="140">
        <v>1</v>
      </c>
      <c r="Y197" s="140">
        <v>1</v>
      </c>
      <c r="Z197" s="140">
        <f>SUMIFS(S$8:S$51,R$8:R$51,R196)*AA196+SUMIFS(S$8:S$51,R$8:R$51,R197)*AA197</f>
        <v>1289230.8553828592</v>
      </c>
      <c r="AA197" s="140">
        <v>12</v>
      </c>
    </row>
    <row r="198" spans="3:3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15" t="s">
        <v>506</v>
      </c>
      <c r="O198" s="215" t="s">
        <v>403</v>
      </c>
      <c r="P198" s="215" t="s">
        <v>195</v>
      </c>
      <c r="Q198" s="148" t="s">
        <v>195</v>
      </c>
      <c r="R198" s="544" t="s">
        <v>202</v>
      </c>
      <c r="S198" s="324">
        <f t="shared" ca="1" si="71"/>
        <v>4.0599999999999996</v>
      </c>
      <c r="T198" s="439">
        <f>100+Summary!$R$9</f>
        <v>100.175</v>
      </c>
      <c r="U198" s="158">
        <v>2</v>
      </c>
      <c r="V198" s="278">
        <f t="shared" ca="1" si="72"/>
        <v>4.0518138301390181</v>
      </c>
      <c r="W198" s="4">
        <f ca="1">S$185</f>
        <v>3089727.4496047003</v>
      </c>
      <c r="X198" s="140">
        <v>1</v>
      </c>
      <c r="Y198" s="140">
        <v>1</v>
      </c>
      <c r="Z198" s="140">
        <f>SUMIFS(S$8:S$51,R$8:R$51,R198)</f>
        <v>762554.14960629912</v>
      </c>
      <c r="AA198" s="140">
        <v>1</v>
      </c>
      <c r="AB198" s="140"/>
    </row>
    <row r="199" spans="3:3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15" t="s">
        <v>506</v>
      </c>
      <c r="O199" s="215" t="s">
        <v>403</v>
      </c>
      <c r="P199" s="215" t="s">
        <v>195</v>
      </c>
      <c r="Q199" s="148" t="s">
        <v>195</v>
      </c>
      <c r="R199" s="544" t="s">
        <v>396</v>
      </c>
      <c r="S199" s="324">
        <f t="shared" ca="1" si="71"/>
        <v>0.13897000000000001</v>
      </c>
      <c r="T199" s="439">
        <f>100+Summary!$R$9</f>
        <v>100.175</v>
      </c>
      <c r="U199" s="158">
        <v>5</v>
      </c>
      <c r="V199" s="278">
        <f t="shared" ca="1" si="72"/>
        <v>0.13874827326540631</v>
      </c>
      <c r="W199" s="4">
        <f ca="1">S$186</f>
        <v>53144368.783496954</v>
      </c>
      <c r="X199" s="140">
        <f ca="1">SUMIFS(S$133:S$180,R$133:R$180,"kWh First Block*")</f>
        <v>16800791.86723607</v>
      </c>
      <c r="Y199" s="140">
        <f ca="1">SUMIFS(S$133:S$180,R$133:R$180,"kWh*")</f>
        <v>49972692.120994195</v>
      </c>
      <c r="Z199" s="4" cm="1">
        <f t="array" ref="Z199">SUM(SUMIFS(S$8:S$51,R$8:R$51,{"kWh First Block*"}))</f>
        <v>141471030.9709782</v>
      </c>
      <c r="AA199" s="140">
        <v>1</v>
      </c>
      <c r="AB199" s="311">
        <f>AC199/AD199*AE199</f>
        <v>1.2453103783064488E-2</v>
      </c>
      <c r="AC199" s="4">
        <f>SUMIFS(S$8:S$51,R$8:R$51,"*(October - May)")</f>
        <v>352686815.57061332</v>
      </c>
      <c r="AD199" s="140">
        <f>SUMIFS(S$8:S$51,R$8:R$51,"kWh*")</f>
        <v>544109630.43028224</v>
      </c>
      <c r="AE199" s="311">
        <f>'Sch.16,17,19'!AH$38</f>
        <v>1.9212098093744981E-2</v>
      </c>
    </row>
    <row r="200" spans="3:3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15" t="s">
        <v>506</v>
      </c>
      <c r="O200" s="215" t="s">
        <v>403</v>
      </c>
      <c r="P200" s="215" t="s">
        <v>195</v>
      </c>
      <c r="Q200" s="148" t="s">
        <v>195</v>
      </c>
      <c r="R200" s="544" t="s">
        <v>394</v>
      </c>
      <c r="S200" s="324">
        <f t="shared" ca="1" si="71"/>
        <v>0.11976000000000001</v>
      </c>
      <c r="T200" s="439">
        <f>100+Summary!$R$9</f>
        <v>100.175</v>
      </c>
      <c r="U200" s="158">
        <v>5</v>
      </c>
      <c r="V200" s="278">
        <f t="shared" ca="1" si="72"/>
        <v>0.11953617517166132</v>
      </c>
      <c r="W200" s="4">
        <f ca="1">S$186</f>
        <v>53144368.783496954</v>
      </c>
      <c r="X200" s="140">
        <f ca="1">SUMIFS(S$133:S$180,R$133:R$180,"kWh First Block*")</f>
        <v>16800791.86723607</v>
      </c>
      <c r="Y200" s="140">
        <f ca="1">SUMIFS(S$133:S$180,R$133:R$180,"kWh*")</f>
        <v>49972692.120994195</v>
      </c>
      <c r="Z200" s="4" cm="1">
        <f t="array" ref="Z200">SUM(SUMIFS(S$8:S$51,R$8:R$51,{"kWh First Block*"}))</f>
        <v>141471030.9709782</v>
      </c>
      <c r="AA200" s="140">
        <v>1</v>
      </c>
      <c r="AB200" s="311">
        <f t="shared" ref="AB200:AB202" si="73">AC200/AD200*AE200</f>
        <v>-6.7589943106804934E-3</v>
      </c>
      <c r="AC200" s="4">
        <f>SUMIFS(S$8:S$51,R$8:R$51,"*(June - September)")</f>
        <v>191422814.85966891</v>
      </c>
      <c r="AD200" s="140">
        <f t="shared" ref="AD200:AD202" si="74">SUMIFS(S$8:S$51,R$8:R$51,"kWh*")</f>
        <v>544109630.43028224</v>
      </c>
      <c r="AE200" s="311">
        <f>-'Sch.16,17,19'!AH$38</f>
        <v>-1.9212098093744981E-2</v>
      </c>
      <c r="AF200" s="311">
        <f ca="1">T200/100*W200*X200/Y200/Z200</f>
        <v>0.12651618602893594</v>
      </c>
    </row>
    <row r="201" spans="3:3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15" t="s">
        <v>506</v>
      </c>
      <c r="O201" s="215" t="s">
        <v>403</v>
      </c>
      <c r="P201" s="215" t="s">
        <v>195</v>
      </c>
      <c r="Q201" s="148" t="s">
        <v>195</v>
      </c>
      <c r="R201" s="544" t="s">
        <v>397</v>
      </c>
      <c r="S201" s="324">
        <f t="shared" ca="1" si="71"/>
        <v>0.10022</v>
      </c>
      <c r="T201" s="439">
        <f>100+Summary!$R$9</f>
        <v>100.175</v>
      </c>
      <c r="U201" s="158">
        <v>5</v>
      </c>
      <c r="V201" s="278">
        <f t="shared" ca="1" si="72"/>
        <v>0.10006830261782304</v>
      </c>
      <c r="W201" s="4">
        <f ca="1">S$186</f>
        <v>53144368.783496954</v>
      </c>
      <c r="X201" s="140" cm="1">
        <f t="array" aca="1" ref="X201" ca="1">SUM(SUMIFS(S$133:S$180,R$133:R$180,{"kWh Second Block*","kWh Third Block*"}))</f>
        <v>33171900.253758125</v>
      </c>
      <c r="Y201" s="140">
        <f ca="1">SUMIFS(S$133:S$180,R$133:R$180,"kWh*")</f>
        <v>49972692.120994195</v>
      </c>
      <c r="Z201" s="4" cm="1">
        <f t="array" ref="Z201">SUM(SUMIFS(S$8:S$51,R$8:R$51,{"kWh Second Block*","kWh Third Block*"}))</f>
        <v>402638599.45930403</v>
      </c>
      <c r="AA201" s="140">
        <v>1</v>
      </c>
      <c r="AB201" s="311">
        <f t="shared" si="73"/>
        <v>1.2453103783064488E-2</v>
      </c>
      <c r="AC201" s="4">
        <f>SUMIFS(S$8:S$51,R$8:R$51,"*(October - May)")</f>
        <v>352686815.57061332</v>
      </c>
      <c r="AD201" s="140">
        <f t="shared" si="74"/>
        <v>544109630.43028224</v>
      </c>
      <c r="AE201" s="311">
        <f>'Sch.16,17,19'!AH$38</f>
        <v>1.9212098093744981E-2</v>
      </c>
    </row>
    <row r="202" spans="3:3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15" t="s">
        <v>506</v>
      </c>
      <c r="O202" s="215" t="s">
        <v>403</v>
      </c>
      <c r="P202" s="215" t="s">
        <v>195</v>
      </c>
      <c r="Q202" s="148" t="s">
        <v>195</v>
      </c>
      <c r="R202" s="544" t="s">
        <v>395</v>
      </c>
      <c r="S202" s="324">
        <f t="shared" ca="1" si="71"/>
        <v>8.1009999999999999E-2</v>
      </c>
      <c r="T202" s="439">
        <f>100+Summary!$R$9</f>
        <v>100.175</v>
      </c>
      <c r="U202" s="158">
        <v>5</v>
      </c>
      <c r="V202" s="278">
        <f t="shared" ca="1" si="72"/>
        <v>8.085620452407806E-2</v>
      </c>
      <c r="W202" s="4">
        <f ca="1">S$186</f>
        <v>53144368.783496954</v>
      </c>
      <c r="X202" s="140" cm="1">
        <f t="array" aca="1" ref="X202" ca="1">SUM(SUMIFS(S$133:S$180,R$133:R$180,{"kWh Second Block*","kWh Third Block*"}))</f>
        <v>33171900.253758125</v>
      </c>
      <c r="Y202" s="140">
        <f ca="1">SUMIFS(S$133:S$180,R$133:R$180,"kWh*")</f>
        <v>49972692.120994195</v>
      </c>
      <c r="Z202" s="4" cm="1">
        <f t="array" ref="Z202">SUM(SUMIFS(S$8:S$51,R$8:R$51,{"kWh Second Block*","kWh Third Block*"}))</f>
        <v>402638599.45930403</v>
      </c>
      <c r="AA202" s="140">
        <v>1</v>
      </c>
      <c r="AB202" s="311">
        <f t="shared" si="73"/>
        <v>-6.7589943106804934E-3</v>
      </c>
      <c r="AC202" s="4">
        <f>SUMIFS(S$8:S$51,R$8:R$51,"*(June - September)")</f>
        <v>191422814.85966891</v>
      </c>
      <c r="AD202" s="140">
        <f t="shared" si="74"/>
        <v>544109630.43028224</v>
      </c>
      <c r="AE202" s="311">
        <f>-'Sch.16,17,19'!AH$38</f>
        <v>-1.9212098093744981E-2</v>
      </c>
      <c r="AF202" s="311">
        <f ca="1">T202/100*W202*X202/Y202/Z202</f>
        <v>8.7768525432719388E-2</v>
      </c>
    </row>
    <row r="203" spans="3:32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15" t="s">
        <v>506</v>
      </c>
      <c r="O203" s="215" t="s">
        <v>403</v>
      </c>
      <c r="P203" s="215" t="s">
        <v>195</v>
      </c>
      <c r="Q203" s="148" t="s">
        <v>195</v>
      </c>
      <c r="R203" s="545" t="s">
        <v>579</v>
      </c>
      <c r="S203" s="324">
        <f>ROUND(W138*(1-X138/100),U203)</f>
        <v>3.0599999999999999E-2</v>
      </c>
      <c r="T203" s="439"/>
      <c r="U203" s="158">
        <v>5</v>
      </c>
      <c r="V203" s="278"/>
      <c r="W203" s="4"/>
      <c r="X203" s="140"/>
      <c r="Y203" s="140"/>
      <c r="Z203" s="4"/>
      <c r="AA203" s="140"/>
      <c r="AB203" s="311"/>
      <c r="AC203" s="4"/>
      <c r="AD203" s="140"/>
      <c r="AE203" s="311"/>
      <c r="AF203" s="311"/>
    </row>
    <row r="204" spans="3:32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15" t="s">
        <v>506</v>
      </c>
      <c r="O204" s="215" t="s">
        <v>403</v>
      </c>
      <c r="P204" s="215" t="s">
        <v>195</v>
      </c>
      <c r="Q204" s="148" t="s">
        <v>195</v>
      </c>
      <c r="R204" s="545" t="s">
        <v>580</v>
      </c>
      <c r="S204" s="324">
        <f>ROUND(W138*(-X138/100),U204)</f>
        <v>-2.2450000000000001E-2</v>
      </c>
      <c r="T204" s="439"/>
      <c r="U204" s="158">
        <v>5</v>
      </c>
      <c r="V204" s="278"/>
      <c r="W204" s="4"/>
      <c r="X204" s="140"/>
      <c r="Y204" s="140"/>
      <c r="Z204" s="4"/>
      <c r="AA204" s="140"/>
      <c r="AB204" s="311"/>
      <c r="AC204" s="4"/>
      <c r="AD204" s="140"/>
      <c r="AE204" s="311"/>
      <c r="AF204" s="311"/>
    </row>
    <row r="205" spans="3:32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15" t="s">
        <v>506</v>
      </c>
      <c r="O205" s="215" t="s">
        <v>403</v>
      </c>
      <c r="P205" s="215" t="s">
        <v>195</v>
      </c>
      <c r="Q205" s="148" t="s">
        <v>195</v>
      </c>
      <c r="R205" s="545" t="s">
        <v>581</v>
      </c>
      <c r="S205" s="324">
        <v>2</v>
      </c>
      <c r="T205" s="439"/>
      <c r="V205" s="278"/>
      <c r="W205" s="4"/>
      <c r="X205" s="140"/>
      <c r="Y205" s="140"/>
      <c r="Z205" s="4"/>
      <c r="AA205" s="140"/>
      <c r="AB205" s="311"/>
      <c r="AC205" s="4"/>
      <c r="AD205" s="140"/>
      <c r="AE205" s="311"/>
      <c r="AF205" s="311"/>
    </row>
    <row r="206" spans="3:32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15" t="s">
        <v>506</v>
      </c>
      <c r="O206" s="215" t="s">
        <v>403</v>
      </c>
      <c r="P206" s="215" t="s">
        <v>195</v>
      </c>
      <c r="Q206" s="148" t="s">
        <v>195</v>
      </c>
      <c r="R206" s="544" t="s">
        <v>201</v>
      </c>
      <c r="S206" s="324">
        <f t="shared" ref="S206" si="75">ROUND(T206/100*W206*X206/Y206/Z206+AB206,U206)*AA206</f>
        <v>0.57999999999999996</v>
      </c>
      <c r="T206" s="439">
        <f>100+Summary!$R$9</f>
        <v>100.175</v>
      </c>
      <c r="U206" s="158">
        <v>2</v>
      </c>
      <c r="V206" s="278">
        <f t="shared" si="72"/>
        <v>0.57999999999999996</v>
      </c>
      <c r="W206" s="4">
        <f>S187</f>
        <v>71615.829999999987</v>
      </c>
      <c r="X206" s="140">
        <v>1</v>
      </c>
      <c r="Y206" s="140">
        <v>1</v>
      </c>
      <c r="Z206" s="140">
        <f>SUMIFS(S$8:S$51,R$8:R$51,R206)</f>
        <v>123475.56896551723</v>
      </c>
      <c r="AA206" s="140">
        <v>1</v>
      </c>
    </row>
    <row r="207" spans="3:32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15" t="s">
        <v>506</v>
      </c>
      <c r="O207" s="215" t="s">
        <v>403</v>
      </c>
      <c r="P207" s="215" t="s">
        <v>195</v>
      </c>
      <c r="Q207" s="148" t="s">
        <v>195</v>
      </c>
      <c r="R207" s="636" t="s">
        <v>367</v>
      </c>
      <c r="S207" s="324">
        <f t="shared" ref="S207:S209" si="76">ROUND(T207/100*W207*X207/Y207/Z207+AB207,U207)*AA207</f>
        <v>-0.01</v>
      </c>
      <c r="T207" s="592">
        <v>100</v>
      </c>
      <c r="U207" s="158">
        <v>2</v>
      </c>
      <c r="V207" s="278">
        <f t="shared" si="72"/>
        <v>-1.0000000000000002E-2</v>
      </c>
      <c r="W207" s="4">
        <f>S188</f>
        <v>-1163.3600000000001</v>
      </c>
      <c r="X207" s="140">
        <v>1</v>
      </c>
      <c r="Y207" s="140">
        <v>1</v>
      </c>
      <c r="Z207" s="140">
        <f>SUMIFS(S$8:S$51,R$8:R$51,R207)</f>
        <v>116336</v>
      </c>
      <c r="AA207" s="140">
        <v>1</v>
      </c>
    </row>
    <row r="208" spans="3:32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15" t="s">
        <v>506</v>
      </c>
      <c r="O208" s="215" t="s">
        <v>403</v>
      </c>
      <c r="P208" s="215" t="s">
        <v>195</v>
      </c>
      <c r="Q208" s="148" t="s">
        <v>195</v>
      </c>
      <c r="R208" s="636" t="s">
        <v>358</v>
      </c>
      <c r="S208" s="324">
        <f t="shared" si="76"/>
        <v>-0.3</v>
      </c>
      <c r="T208" s="592">
        <v>100</v>
      </c>
      <c r="U208" s="158">
        <v>2</v>
      </c>
      <c r="V208" s="278">
        <f t="shared" si="72"/>
        <v>-0.30000000000000004</v>
      </c>
      <c r="W208" s="4">
        <f>S189</f>
        <v>-1276.75</v>
      </c>
      <c r="X208" s="140">
        <v>1</v>
      </c>
      <c r="Y208" s="140">
        <v>1</v>
      </c>
      <c r="Z208" s="140">
        <f>SUMIFS(S$8:S$51,R$8:R$51,R208)</f>
        <v>4255.833333333333</v>
      </c>
      <c r="AA208" s="140">
        <v>1</v>
      </c>
    </row>
    <row r="209" spans="3:27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16" t="s">
        <v>506</v>
      </c>
      <c r="O209" s="216" t="s">
        <v>403</v>
      </c>
      <c r="P209" s="216" t="s">
        <v>195</v>
      </c>
      <c r="Q209" s="151" t="s">
        <v>195</v>
      </c>
      <c r="R209" s="637" t="s">
        <v>368</v>
      </c>
      <c r="S209" s="325">
        <f t="shared" si="76"/>
        <v>60</v>
      </c>
      <c r="T209" s="592">
        <v>100</v>
      </c>
      <c r="U209" s="158">
        <v>2</v>
      </c>
      <c r="V209" s="278">
        <f t="shared" si="72"/>
        <v>60</v>
      </c>
      <c r="W209" s="4">
        <f>S190</f>
        <v>9480</v>
      </c>
      <c r="X209" s="140">
        <v>1</v>
      </c>
      <c r="Y209" s="140">
        <v>1</v>
      </c>
      <c r="Z209" s="140">
        <f>SUMIFS(S$8:S$51,R$8:R$51,R209)</f>
        <v>158</v>
      </c>
      <c r="AA209" s="140">
        <v>1</v>
      </c>
    </row>
    <row r="210" spans="3:27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19" t="s">
        <v>506</v>
      </c>
      <c r="O210" s="219" t="s">
        <v>29</v>
      </c>
      <c r="P210" s="144" t="s">
        <v>4</v>
      </c>
      <c r="Q210" s="146" t="s">
        <v>199</v>
      </c>
      <c r="R210" s="543" t="s">
        <v>335</v>
      </c>
      <c r="S210" s="220">
        <f t="shared" ref="S210:S257" ca="1" si="77">IF(R210="Unbilled",SUMIFS(S$133:S$180,P$133:P$180,P210,R$133:R$180,R210),SUMIFS(S$192:S$209,Q$192:Q$209,Q210,R$192:R$209,R210)*U210)</f>
        <v>418918.07100000005</v>
      </c>
      <c r="T210" s="4">
        <f t="shared" ref="T210:T257" ca="1" si="78">IF(R210="Unbilled",SUMIFS(S$133:S$180,P$133:P$180,P210,R$133:R$180,R210),SUMIFS(V$192:V$209,Q$192:Q$209,Q210,R$192:R$209,R210)*U210)</f>
        <v>418162.82109680033</v>
      </c>
      <c r="U210" s="140">
        <f t="shared" ref="U210:U218" si="79">SUMIFS(S$8:S$51,P$8:P$51,P210,Q$8:Q$51,Q210,R$8:R$51,R210)</f>
        <v>39261.300000000003</v>
      </c>
    </row>
    <row r="211" spans="3:27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15" t="s">
        <v>506</v>
      </c>
      <c r="O211" s="215" t="s">
        <v>29</v>
      </c>
      <c r="P211" s="100" t="s">
        <v>4</v>
      </c>
      <c r="Q211" s="148" t="s">
        <v>199</v>
      </c>
      <c r="R211" s="544" t="s">
        <v>336</v>
      </c>
      <c r="S211" s="217">
        <f t="shared" ca="1" si="77"/>
        <v>0</v>
      </c>
      <c r="T211" s="4">
        <f t="shared" ca="1" si="78"/>
        <v>0</v>
      </c>
      <c r="U211" s="140">
        <f t="shared" si="79"/>
        <v>0</v>
      </c>
    </row>
    <row r="212" spans="3:27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15" t="s">
        <v>506</v>
      </c>
      <c r="O212" s="215" t="s">
        <v>29</v>
      </c>
      <c r="P212" s="100" t="s">
        <v>4</v>
      </c>
      <c r="Q212" s="148" t="s">
        <v>200</v>
      </c>
      <c r="R212" s="544" t="s">
        <v>335</v>
      </c>
      <c r="S212" s="217">
        <f t="shared" ca="1" si="77"/>
        <v>43238.076666666675</v>
      </c>
      <c r="T212" s="4">
        <f t="shared" ca="1" si="78"/>
        <v>43155.757916021721</v>
      </c>
      <c r="U212" s="140">
        <f t="shared" si="79"/>
        <v>2717.666666666667</v>
      </c>
    </row>
    <row r="213" spans="3:27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15" t="s">
        <v>506</v>
      </c>
      <c r="O213" s="215" t="s">
        <v>29</v>
      </c>
      <c r="P213" s="100" t="s">
        <v>4</v>
      </c>
      <c r="Q213" s="148" t="s">
        <v>200</v>
      </c>
      <c r="R213" s="544" t="s">
        <v>336</v>
      </c>
      <c r="S213" s="217">
        <f t="shared" ca="1" si="77"/>
        <v>0</v>
      </c>
      <c r="T213" s="4">
        <f t="shared" ca="1" si="78"/>
        <v>0</v>
      </c>
      <c r="U213" s="140">
        <f t="shared" si="79"/>
        <v>0</v>
      </c>
    </row>
    <row r="214" spans="3:27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15" t="s">
        <v>506</v>
      </c>
      <c r="O214" s="215" t="s">
        <v>29</v>
      </c>
      <c r="P214" s="100" t="s">
        <v>4</v>
      </c>
      <c r="Q214" s="148" t="s">
        <v>195</v>
      </c>
      <c r="R214" s="544" t="s">
        <v>281</v>
      </c>
      <c r="S214" s="217">
        <f t="shared" ca="1" si="77"/>
        <v>27253.746038461548</v>
      </c>
      <c r="T214" s="4">
        <f t="shared" ca="1" si="78"/>
        <v>27155.704364191984</v>
      </c>
      <c r="U214" s="140">
        <f t="shared" si="79"/>
        <v>24552.924358974364</v>
      </c>
    </row>
    <row r="215" spans="3:27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15" t="s">
        <v>506</v>
      </c>
      <c r="O215" s="215" t="s">
        <v>29</v>
      </c>
      <c r="P215" s="100" t="s">
        <v>4</v>
      </c>
      <c r="Q215" s="148" t="s">
        <v>195</v>
      </c>
      <c r="R215" s="544" t="s">
        <v>283</v>
      </c>
      <c r="S215" s="217">
        <f t="shared" ca="1" si="77"/>
        <v>0</v>
      </c>
      <c r="T215" s="4">
        <f t="shared" ca="1" si="78"/>
        <v>0</v>
      </c>
      <c r="U215" s="140">
        <f t="shared" si="79"/>
        <v>0</v>
      </c>
    </row>
    <row r="216" spans="3:27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15" t="s">
        <v>506</v>
      </c>
      <c r="O216" s="215" t="s">
        <v>29</v>
      </c>
      <c r="P216" s="100" t="s">
        <v>4</v>
      </c>
      <c r="Q216" s="148" t="s">
        <v>195</v>
      </c>
      <c r="R216" s="544" t="s">
        <v>202</v>
      </c>
      <c r="S216" s="217">
        <f t="shared" ca="1" si="77"/>
        <v>58931.432808398953</v>
      </c>
      <c r="T216" s="4">
        <f t="shared" ca="1" si="78"/>
        <v>58812.609478566301</v>
      </c>
      <c r="U216" s="140">
        <f t="shared" si="79"/>
        <v>14515.131233595803</v>
      </c>
    </row>
    <row r="217" spans="3:27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15" t="s">
        <v>506</v>
      </c>
      <c r="O217" s="215" t="s">
        <v>29</v>
      </c>
      <c r="P217" s="100" t="s">
        <v>4</v>
      </c>
      <c r="Q217" s="148" t="s">
        <v>195</v>
      </c>
      <c r="R217" s="544" t="s">
        <v>396</v>
      </c>
      <c r="S217" s="217">
        <f t="shared" ca="1" si="77"/>
        <v>631455.80942910421</v>
      </c>
      <c r="T217" s="4">
        <f t="shared" ca="1" si="78"/>
        <v>630448.32123262342</v>
      </c>
      <c r="U217" s="140">
        <f t="shared" si="79"/>
        <v>4543828.2322019441</v>
      </c>
    </row>
    <row r="218" spans="3:27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15" t="s">
        <v>506</v>
      </c>
      <c r="O218" s="215" t="s">
        <v>29</v>
      </c>
      <c r="P218" s="100" t="s">
        <v>4</v>
      </c>
      <c r="Q218" s="148" t="s">
        <v>195</v>
      </c>
      <c r="R218" s="544" t="s">
        <v>394</v>
      </c>
      <c r="S218" s="217">
        <f t="shared" ca="1" si="77"/>
        <v>1080582.9851863945</v>
      </c>
      <c r="T218" s="4">
        <f t="shared" ca="1" si="78"/>
        <v>1078563.4352434666</v>
      </c>
      <c r="U218" s="140">
        <f t="shared" si="79"/>
        <v>9022904.0179224666</v>
      </c>
    </row>
    <row r="219" spans="3:27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15" t="s">
        <v>506</v>
      </c>
      <c r="O219" s="215" t="s">
        <v>29</v>
      </c>
      <c r="P219" s="100" t="s">
        <v>4</v>
      </c>
      <c r="Q219" s="148" t="s">
        <v>195</v>
      </c>
      <c r="R219" s="544" t="s">
        <v>397</v>
      </c>
      <c r="S219" s="217">
        <f t="shared" ca="1" si="77"/>
        <v>271518.39459967578</v>
      </c>
      <c r="T219" s="4">
        <f t="shared" ca="1" si="78"/>
        <v>271107.41246363847</v>
      </c>
      <c r="U219" s="140">
        <f>SUMIFS(S$8:S$51,P$8:P$51,P219,Q$8:Q$51,Q219,R$8:R$51,R219)+S16</f>
        <v>2709223.6539580501</v>
      </c>
    </row>
    <row r="220" spans="3:27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15" t="s">
        <v>506</v>
      </c>
      <c r="O220" s="215" t="s">
        <v>29</v>
      </c>
      <c r="P220" s="100" t="s">
        <v>4</v>
      </c>
      <c r="Q220" s="148" t="s">
        <v>195</v>
      </c>
      <c r="R220" s="544" t="s">
        <v>395</v>
      </c>
      <c r="S220" s="217">
        <f t="shared" ca="1" si="77"/>
        <v>431655.54182840761</v>
      </c>
      <c r="T220" s="4">
        <f t="shared" ca="1" si="78"/>
        <v>430836.05448746402</v>
      </c>
      <c r="U220" s="140">
        <f>SUMIFS(S$8:S$51,P$8:P$51,P220,Q$8:Q$51,Q220,R$8:R$51,R220)+S17</f>
        <v>5328422.9333219063</v>
      </c>
    </row>
    <row r="221" spans="3:27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15" t="s">
        <v>506</v>
      </c>
      <c r="O221" s="215" t="s">
        <v>29</v>
      </c>
      <c r="P221" s="100" t="s">
        <v>4</v>
      </c>
      <c r="Q221" s="148" t="s">
        <v>195</v>
      </c>
      <c r="R221" s="544" t="s">
        <v>201</v>
      </c>
      <c r="S221" s="217">
        <f t="shared" si="77"/>
        <v>65.539999999999992</v>
      </c>
      <c r="T221" s="4">
        <f t="shared" si="78"/>
        <v>65.539999999999992</v>
      </c>
      <c r="U221" s="140">
        <f t="shared" ref="U221:U234" si="80">SUMIFS(S$8:S$51,P$8:P$51,P221,Q$8:Q$51,Q221,R$8:R$51,R221)</f>
        <v>113</v>
      </c>
    </row>
    <row r="222" spans="3:27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15" t="s">
        <v>506</v>
      </c>
      <c r="O222" s="215" t="s">
        <v>29</v>
      </c>
      <c r="P222" s="100" t="s">
        <v>4</v>
      </c>
      <c r="Q222" s="148" t="s">
        <v>195</v>
      </c>
      <c r="R222" s="636" t="s">
        <v>367</v>
      </c>
      <c r="S222" s="217">
        <f t="shared" si="77"/>
        <v>0</v>
      </c>
      <c r="T222" s="4">
        <f t="shared" si="78"/>
        <v>0</v>
      </c>
      <c r="U222" s="140">
        <f t="shared" si="80"/>
        <v>0</v>
      </c>
    </row>
    <row r="223" spans="3:27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15" t="s">
        <v>506</v>
      </c>
      <c r="O223" s="215" t="s">
        <v>29</v>
      </c>
      <c r="P223" s="100" t="s">
        <v>4</v>
      </c>
      <c r="Q223" s="148" t="s">
        <v>195</v>
      </c>
      <c r="R223" s="636" t="s">
        <v>358</v>
      </c>
      <c r="S223" s="217">
        <f t="shared" si="77"/>
        <v>0</v>
      </c>
      <c r="T223" s="4">
        <f t="shared" si="78"/>
        <v>0</v>
      </c>
      <c r="U223" s="140">
        <f t="shared" si="80"/>
        <v>0</v>
      </c>
    </row>
    <row r="224" spans="3:27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15" t="s">
        <v>506</v>
      </c>
      <c r="O224" s="215" t="s">
        <v>29</v>
      </c>
      <c r="P224" s="100" t="s">
        <v>4</v>
      </c>
      <c r="Q224" s="148" t="s">
        <v>195</v>
      </c>
      <c r="R224" s="636" t="s">
        <v>368</v>
      </c>
      <c r="S224" s="217">
        <f t="shared" si="77"/>
        <v>0</v>
      </c>
      <c r="T224" s="4">
        <f t="shared" si="78"/>
        <v>0</v>
      </c>
      <c r="U224" s="140">
        <f t="shared" si="80"/>
        <v>0</v>
      </c>
    </row>
    <row r="225" spans="3:21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16" t="s">
        <v>506</v>
      </c>
      <c r="O225" s="216" t="s">
        <v>29</v>
      </c>
      <c r="P225" s="152" t="s">
        <v>4</v>
      </c>
      <c r="Q225" s="151" t="s">
        <v>195</v>
      </c>
      <c r="R225" s="645" t="s">
        <v>168</v>
      </c>
      <c r="S225" s="218">
        <f t="shared" si="77"/>
        <v>92749.030275302401</v>
      </c>
      <c r="T225" s="4">
        <f t="shared" si="78"/>
        <v>92749.030275302401</v>
      </c>
      <c r="U225" s="140">
        <f t="shared" si="80"/>
        <v>0</v>
      </c>
    </row>
    <row r="226" spans="3:21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19" t="s">
        <v>506</v>
      </c>
      <c r="O226" s="219" t="s">
        <v>29</v>
      </c>
      <c r="P226" s="146" t="s">
        <v>5</v>
      </c>
      <c r="Q226" s="146" t="s">
        <v>199</v>
      </c>
      <c r="R226" s="146" t="s">
        <v>335</v>
      </c>
      <c r="S226" s="220">
        <f t="shared" ca="1" si="77"/>
        <v>1466984.1560000002</v>
      </c>
      <c r="T226" s="4">
        <f t="shared" ca="1" si="78"/>
        <v>1464339.3915018495</v>
      </c>
      <c r="U226" s="140">
        <f t="shared" si="80"/>
        <v>137486.80000000002</v>
      </c>
    </row>
    <row r="227" spans="3:21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15" t="s">
        <v>506</v>
      </c>
      <c r="O227" s="215" t="s">
        <v>29</v>
      </c>
      <c r="P227" s="148" t="s">
        <v>5</v>
      </c>
      <c r="Q227" s="148" t="s">
        <v>199</v>
      </c>
      <c r="R227" s="148" t="s">
        <v>336</v>
      </c>
      <c r="S227" s="217">
        <f t="shared" ca="1" si="77"/>
        <v>336.76273972602735</v>
      </c>
      <c r="T227" s="4">
        <f t="shared" ca="1" si="78"/>
        <v>336.15560424015013</v>
      </c>
      <c r="U227" s="140">
        <f t="shared" si="80"/>
        <v>2.6301369863013697</v>
      </c>
    </row>
    <row r="228" spans="3:21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15" t="s">
        <v>506</v>
      </c>
      <c r="O228" s="215" t="s">
        <v>29</v>
      </c>
      <c r="P228" s="148" t="s">
        <v>5</v>
      </c>
      <c r="Q228" s="148" t="s">
        <v>200</v>
      </c>
      <c r="R228" s="148" t="s">
        <v>335</v>
      </c>
      <c r="S228" s="217">
        <f t="shared" ca="1" si="77"/>
        <v>1028021.4679999999</v>
      </c>
      <c r="T228" s="4">
        <f t="shared" ca="1" si="78"/>
        <v>1026064.2707931411</v>
      </c>
      <c r="U228" s="140">
        <f t="shared" si="80"/>
        <v>64614.799999999988</v>
      </c>
    </row>
    <row r="229" spans="3:21">
      <c r="N229" s="215" t="s">
        <v>506</v>
      </c>
      <c r="O229" s="215" t="s">
        <v>29</v>
      </c>
      <c r="P229" s="148" t="s">
        <v>5</v>
      </c>
      <c r="Q229" s="148" t="s">
        <v>200</v>
      </c>
      <c r="R229" s="148" t="s">
        <v>336</v>
      </c>
      <c r="S229" s="217">
        <f t="shared" ca="1" si="77"/>
        <v>12117.927780821916</v>
      </c>
      <c r="T229" s="4">
        <f t="shared" ca="1" si="78"/>
        <v>12094.857081285179</v>
      </c>
      <c r="U229" s="140">
        <f t="shared" si="80"/>
        <v>63.471232876712314</v>
      </c>
    </row>
    <row r="230" spans="3:21">
      <c r="N230" s="215" t="s">
        <v>506</v>
      </c>
      <c r="O230" s="215" t="s">
        <v>29</v>
      </c>
      <c r="P230" s="148" t="s">
        <v>5</v>
      </c>
      <c r="Q230" s="148" t="s">
        <v>195</v>
      </c>
      <c r="R230" s="148" t="s">
        <v>281</v>
      </c>
      <c r="S230" s="217">
        <f t="shared" ca="1" si="77"/>
        <v>1318545.3989807693</v>
      </c>
      <c r="T230" s="4">
        <f t="shared" ca="1" si="78"/>
        <v>1313802.1098074547</v>
      </c>
      <c r="U230" s="140">
        <f t="shared" si="80"/>
        <v>1187878.7378205128</v>
      </c>
    </row>
    <row r="231" spans="3:21">
      <c r="N231" s="215" t="s">
        <v>506</v>
      </c>
      <c r="O231" s="215" t="s">
        <v>29</v>
      </c>
      <c r="P231" s="148" t="s">
        <v>5</v>
      </c>
      <c r="Q231" s="148" t="s">
        <v>195</v>
      </c>
      <c r="R231" s="148" t="s">
        <v>283</v>
      </c>
      <c r="S231" s="217">
        <f t="shared" ca="1" si="77"/>
        <v>28372.682864067436</v>
      </c>
      <c r="T231" s="4">
        <f t="shared" ca="1" si="78"/>
        <v>28270.615965535882</v>
      </c>
      <c r="U231" s="140">
        <f t="shared" si="80"/>
        <v>2130.0812961011588</v>
      </c>
    </row>
    <row r="232" spans="3:21">
      <c r="N232" s="215" t="s">
        <v>506</v>
      </c>
      <c r="O232" s="215" t="s">
        <v>29</v>
      </c>
      <c r="P232" s="148" t="s">
        <v>5</v>
      </c>
      <c r="Q232" s="148" t="s">
        <v>195</v>
      </c>
      <c r="R232" s="148" t="s">
        <v>202</v>
      </c>
      <c r="S232" s="217">
        <f t="shared" ca="1" si="77"/>
        <v>2903644.9407349075</v>
      </c>
      <c r="T232" s="4">
        <f t="shared" ca="1" si="78"/>
        <v>2897790.3272617953</v>
      </c>
      <c r="U232" s="140">
        <f t="shared" si="80"/>
        <v>715183.48293963249</v>
      </c>
    </row>
    <row r="233" spans="3:21">
      <c r="N233" s="215" t="s">
        <v>506</v>
      </c>
      <c r="O233" s="215" t="s">
        <v>29</v>
      </c>
      <c r="P233" s="148" t="s">
        <v>5</v>
      </c>
      <c r="Q233" s="148" t="s">
        <v>195</v>
      </c>
      <c r="R233" s="148" t="s">
        <v>396</v>
      </c>
      <c r="S233" s="217">
        <f t="shared" ca="1" si="77"/>
        <v>5651235.1806406509</v>
      </c>
      <c r="T233" s="4">
        <f t="shared" ca="1" si="78"/>
        <v>5642218.6308599468</v>
      </c>
      <c r="U233" s="140">
        <f t="shared" si="80"/>
        <v>40665144.85601677</v>
      </c>
    </row>
    <row r="234" spans="3:21">
      <c r="N234" s="215" t="s">
        <v>506</v>
      </c>
      <c r="O234" s="215" t="s">
        <v>29</v>
      </c>
      <c r="P234" s="148" t="s">
        <v>5</v>
      </c>
      <c r="Q234" s="148" t="s">
        <v>195</v>
      </c>
      <c r="R234" s="148" t="s">
        <v>394</v>
      </c>
      <c r="S234" s="217">
        <f t="shared" ca="1" si="77"/>
        <v>10096038.775076644</v>
      </c>
      <c r="T234" s="4">
        <f t="shared" ca="1" si="78"/>
        <v>10077169.835984023</v>
      </c>
      <c r="U234" s="140">
        <f t="shared" si="80"/>
        <v>84302260.980933905</v>
      </c>
    </row>
    <row r="235" spans="3:21">
      <c r="N235" s="215" t="s">
        <v>506</v>
      </c>
      <c r="O235" s="215" t="s">
        <v>29</v>
      </c>
      <c r="P235" s="148" t="s">
        <v>5</v>
      </c>
      <c r="Q235" s="148" t="s">
        <v>195</v>
      </c>
      <c r="R235" s="148" t="s">
        <v>397</v>
      </c>
      <c r="S235" s="217">
        <f t="shared" ca="1" si="77"/>
        <v>13886672.945258252</v>
      </c>
      <c r="T235" s="4">
        <f t="shared" ca="1" si="78"/>
        <v>13865653.468777079</v>
      </c>
      <c r="U235" s="140">
        <f>SUMIFS(S$8:S$51,P$8:P$51,P235,Q$8:Q$51,Q235,R$8:R$51,R235)+S30</f>
        <v>138561893.28735036</v>
      </c>
    </row>
    <row r="236" spans="3:21">
      <c r="N236" s="215" t="s">
        <v>506</v>
      </c>
      <c r="O236" s="215" t="s">
        <v>29</v>
      </c>
      <c r="P236" s="148" t="s">
        <v>5</v>
      </c>
      <c r="Q236" s="148" t="s">
        <v>195</v>
      </c>
      <c r="R236" s="148" t="s">
        <v>395</v>
      </c>
      <c r="S236" s="217">
        <f t="shared" ca="1" si="77"/>
        <v>19756207.39910116</v>
      </c>
      <c r="T236" s="4">
        <f t="shared" ca="1" si="78"/>
        <v>19718700.729315244</v>
      </c>
      <c r="U236" s="140">
        <f>SUMIFS(S$8:S$51,P$8:P$51,P236,Q$8:Q$51,Q236,R$8:R$51,R236)+S31</f>
        <v>243873687.18801582</v>
      </c>
    </row>
    <row r="237" spans="3:21">
      <c r="N237" s="215" t="s">
        <v>506</v>
      </c>
      <c r="O237" s="215" t="s">
        <v>29</v>
      </c>
      <c r="P237" s="148" t="s">
        <v>5</v>
      </c>
      <c r="Q237" s="148" t="s">
        <v>195</v>
      </c>
      <c r="R237" s="148" t="s">
        <v>201</v>
      </c>
      <c r="S237" s="217">
        <f t="shared" si="77"/>
        <v>63169.819999999992</v>
      </c>
      <c r="T237" s="4">
        <f t="shared" si="78"/>
        <v>63169.819999999992</v>
      </c>
      <c r="U237" s="140">
        <f t="shared" ref="U237:U250" si="81">SUMIFS(S$8:S$51,P$8:P$51,P237,Q$8:Q$51,Q237,R$8:R$51,R237)</f>
        <v>108913.48275862068</v>
      </c>
    </row>
    <row r="238" spans="3:21">
      <c r="N238" s="215" t="s">
        <v>506</v>
      </c>
      <c r="O238" s="215" t="s">
        <v>29</v>
      </c>
      <c r="P238" s="148" t="s">
        <v>5</v>
      </c>
      <c r="Q238" s="148" t="s">
        <v>195</v>
      </c>
      <c r="R238" s="173" t="s">
        <v>367</v>
      </c>
      <c r="S238" s="217">
        <f t="shared" si="77"/>
        <v>-1043.94</v>
      </c>
      <c r="T238" s="4">
        <f t="shared" si="78"/>
        <v>-1043.9400000000003</v>
      </c>
      <c r="U238" s="140">
        <f t="shared" si="81"/>
        <v>104394</v>
      </c>
    </row>
    <row r="239" spans="3:21">
      <c r="N239" s="215" t="s">
        <v>506</v>
      </c>
      <c r="O239" s="215" t="s">
        <v>29</v>
      </c>
      <c r="P239" s="148" t="s">
        <v>5</v>
      </c>
      <c r="Q239" s="148" t="s">
        <v>195</v>
      </c>
      <c r="R239" s="173" t="s">
        <v>358</v>
      </c>
      <c r="S239" s="217">
        <f t="shared" si="77"/>
        <v>-1129.99</v>
      </c>
      <c r="T239" s="4">
        <f t="shared" si="78"/>
        <v>-1129.9900000000002</v>
      </c>
      <c r="U239" s="140">
        <f t="shared" si="81"/>
        <v>3766.6333333333332</v>
      </c>
    </row>
    <row r="240" spans="3:21">
      <c r="N240" s="215" t="s">
        <v>506</v>
      </c>
      <c r="O240" s="215" t="s">
        <v>29</v>
      </c>
      <c r="P240" s="148" t="s">
        <v>5</v>
      </c>
      <c r="Q240" s="148" t="s">
        <v>195</v>
      </c>
      <c r="R240" s="173" t="s">
        <v>368</v>
      </c>
      <c r="S240" s="217">
        <f t="shared" si="77"/>
        <v>7924</v>
      </c>
      <c r="T240" s="4">
        <f t="shared" si="78"/>
        <v>7924</v>
      </c>
      <c r="U240" s="140">
        <f t="shared" si="81"/>
        <v>132.06666666666666</v>
      </c>
    </row>
    <row r="241" spans="14:21">
      <c r="N241" s="216" t="s">
        <v>506</v>
      </c>
      <c r="O241" s="216" t="s">
        <v>29</v>
      </c>
      <c r="P241" s="151" t="s">
        <v>5</v>
      </c>
      <c r="Q241" s="151" t="s">
        <v>195</v>
      </c>
      <c r="R241" s="427" t="s">
        <v>168</v>
      </c>
      <c r="S241" s="218">
        <f t="shared" si="77"/>
        <v>753527.61020262272</v>
      </c>
      <c r="T241" s="4">
        <f t="shared" si="78"/>
        <v>753527.61020262272</v>
      </c>
      <c r="U241" s="140">
        <f t="shared" si="81"/>
        <v>0</v>
      </c>
    </row>
    <row r="242" spans="14:21">
      <c r="N242" s="219" t="s">
        <v>506</v>
      </c>
      <c r="O242" s="219" t="s">
        <v>29</v>
      </c>
      <c r="P242" s="146" t="s">
        <v>7</v>
      </c>
      <c r="Q242" s="146" t="s">
        <v>199</v>
      </c>
      <c r="R242" s="146" t="s">
        <v>335</v>
      </c>
      <c r="S242" s="220">
        <f t="shared" ca="1" si="77"/>
        <v>22028.570666666667</v>
      </c>
      <c r="T242" s="4">
        <f t="shared" ca="1" si="78"/>
        <v>21988.856276156097</v>
      </c>
      <c r="U242" s="140">
        <f t="shared" si="81"/>
        <v>2064.5333333333333</v>
      </c>
    </row>
    <row r="243" spans="14:21">
      <c r="N243" s="215" t="s">
        <v>506</v>
      </c>
      <c r="O243" s="215" t="s">
        <v>29</v>
      </c>
      <c r="P243" s="148" t="s">
        <v>7</v>
      </c>
      <c r="Q243" s="148" t="s">
        <v>199</v>
      </c>
      <c r="R243" s="148" t="s">
        <v>336</v>
      </c>
      <c r="S243" s="217">
        <f t="shared" ca="1" si="77"/>
        <v>0</v>
      </c>
      <c r="T243" s="4">
        <f t="shared" ca="1" si="78"/>
        <v>0</v>
      </c>
      <c r="U243" s="140">
        <f t="shared" si="81"/>
        <v>0</v>
      </c>
    </row>
    <row r="244" spans="14:21">
      <c r="N244" s="215" t="s">
        <v>506</v>
      </c>
      <c r="O244" s="215" t="s">
        <v>29</v>
      </c>
      <c r="P244" s="148" t="s">
        <v>7</v>
      </c>
      <c r="Q244" s="148" t="s">
        <v>200</v>
      </c>
      <c r="R244" s="148" t="s">
        <v>335</v>
      </c>
      <c r="S244" s="217">
        <f t="shared" ca="1" si="77"/>
        <v>44803.620666666669</v>
      </c>
      <c r="T244" s="4">
        <f t="shared" ca="1" si="78"/>
        <v>44718.321357308312</v>
      </c>
      <c r="U244" s="140">
        <f t="shared" si="81"/>
        <v>2816.0666666666666</v>
      </c>
    </row>
    <row r="245" spans="14:21">
      <c r="N245" s="215" t="s">
        <v>506</v>
      </c>
      <c r="O245" s="215" t="s">
        <v>29</v>
      </c>
      <c r="P245" s="148" t="s">
        <v>7</v>
      </c>
      <c r="Q245" s="148" t="s">
        <v>200</v>
      </c>
      <c r="R245" s="148" t="s">
        <v>336</v>
      </c>
      <c r="S245" s="217">
        <f t="shared" ca="1" si="77"/>
        <v>190.92000000000002</v>
      </c>
      <c r="T245" s="4">
        <f t="shared" ca="1" si="78"/>
        <v>190.55651723007259</v>
      </c>
      <c r="U245" s="140">
        <f t="shared" si="81"/>
        <v>1</v>
      </c>
    </row>
    <row r="246" spans="14:21">
      <c r="N246" s="215" t="s">
        <v>506</v>
      </c>
      <c r="O246" s="215" t="s">
        <v>29</v>
      </c>
      <c r="P246" s="148" t="s">
        <v>7</v>
      </c>
      <c r="Q246" s="148" t="s">
        <v>195</v>
      </c>
      <c r="R246" s="148" t="s">
        <v>281</v>
      </c>
      <c r="S246" s="217">
        <f t="shared" ca="1" si="77"/>
        <v>56128.505480769236</v>
      </c>
      <c r="T246" s="4">
        <f t="shared" ca="1" si="78"/>
        <v>55926.590755218596</v>
      </c>
      <c r="U246" s="140">
        <f t="shared" si="81"/>
        <v>50566.221153846156</v>
      </c>
    </row>
    <row r="247" spans="14:21">
      <c r="N247" s="215" t="s">
        <v>506</v>
      </c>
      <c r="O247" s="215" t="s">
        <v>29</v>
      </c>
      <c r="P247" s="148" t="s">
        <v>7</v>
      </c>
      <c r="Q247" s="148" t="s">
        <v>195</v>
      </c>
      <c r="R247" s="148" t="s">
        <v>283</v>
      </c>
      <c r="S247" s="217">
        <f t="shared" ca="1" si="77"/>
        <v>745.916110906217</v>
      </c>
      <c r="T247" s="4">
        <f t="shared" ca="1" si="78"/>
        <v>743.23277833701059</v>
      </c>
      <c r="U247" s="140">
        <f t="shared" si="81"/>
        <v>55.99970802599227</v>
      </c>
    </row>
    <row r="248" spans="14:21">
      <c r="N248" s="215" t="s">
        <v>506</v>
      </c>
      <c r="O248" s="215" t="s">
        <v>29</v>
      </c>
      <c r="P248" s="148" t="s">
        <v>7</v>
      </c>
      <c r="Q248" s="148" t="s">
        <v>195</v>
      </c>
      <c r="R248" s="148" t="s">
        <v>202</v>
      </c>
      <c r="S248" s="217">
        <f t="shared" ca="1" si="77"/>
        <v>133393.47385826771</v>
      </c>
      <c r="T248" s="4">
        <f t="shared" ca="1" si="78"/>
        <v>133124.51286433908</v>
      </c>
      <c r="U248" s="140">
        <f t="shared" si="81"/>
        <v>32855.535433070865</v>
      </c>
    </row>
    <row r="249" spans="14:21">
      <c r="N249" s="215" t="s">
        <v>506</v>
      </c>
      <c r="O249" s="215" t="s">
        <v>29</v>
      </c>
      <c r="P249" s="148" t="s">
        <v>7</v>
      </c>
      <c r="Q249" s="148" t="s">
        <v>195</v>
      </c>
      <c r="R249" s="148" t="s">
        <v>396</v>
      </c>
      <c r="S249" s="217">
        <f t="shared" ca="1" si="77"/>
        <v>136700.13247521041</v>
      </c>
      <c r="T249" s="4">
        <f t="shared" ca="1" si="78"/>
        <v>136482.02731587924</v>
      </c>
      <c r="U249" s="140">
        <f t="shared" si="81"/>
        <v>983666.49258984241</v>
      </c>
    </row>
    <row r="250" spans="14:21">
      <c r="N250" s="215" t="s">
        <v>506</v>
      </c>
      <c r="O250" s="215" t="s">
        <v>29</v>
      </c>
      <c r="P250" s="148" t="s">
        <v>7</v>
      </c>
      <c r="Q250" s="148" t="s">
        <v>195</v>
      </c>
      <c r="R250" s="148" t="s">
        <v>394</v>
      </c>
      <c r="S250" s="217">
        <f t="shared" ca="1" si="77"/>
        <v>233918.39262367826</v>
      </c>
      <c r="T250" s="4">
        <f t="shared" ca="1" si="78"/>
        <v>233481.21206193598</v>
      </c>
      <c r="U250" s="140">
        <f t="shared" si="81"/>
        <v>1953226.3913132786</v>
      </c>
    </row>
    <row r="251" spans="14:21">
      <c r="N251" s="215" t="s">
        <v>506</v>
      </c>
      <c r="O251" s="215" t="s">
        <v>29</v>
      </c>
      <c r="P251" s="148" t="s">
        <v>7</v>
      </c>
      <c r="Q251" s="148" t="s">
        <v>195</v>
      </c>
      <c r="R251" s="148" t="s">
        <v>397</v>
      </c>
      <c r="S251" s="217">
        <f t="shared" ca="1" si="77"/>
        <v>396776.82658945746</v>
      </c>
      <c r="T251" s="4">
        <f t="shared" ca="1" si="78"/>
        <v>396176.24780376494</v>
      </c>
      <c r="U251" s="140">
        <f>SUMIFS(S$8:S$51,P$8:P$51,P251,Q$8:Q$51,Q251,R$8:R$51,R251)+S46</f>
        <v>3959058.3375519603</v>
      </c>
    </row>
    <row r="252" spans="14:21">
      <c r="N252" s="215" t="s">
        <v>506</v>
      </c>
      <c r="O252" s="215" t="s">
        <v>29</v>
      </c>
      <c r="P252" s="148" t="s">
        <v>7</v>
      </c>
      <c r="Q252" s="148" t="s">
        <v>195</v>
      </c>
      <c r="R252" s="148" t="s">
        <v>395</v>
      </c>
      <c r="S252" s="217">
        <f t="shared" ca="1" si="77"/>
        <v>664793.50192817068</v>
      </c>
      <c r="T252" s="4">
        <f t="shared" ca="1" si="78"/>
        <v>663531.4079518856</v>
      </c>
      <c r="U252" s="140">
        <f>SUMIFS(S$8:S$51,P$8:P$51,P252,Q$8:Q$51,Q252,R$8:R$51,R252)+S47</f>
        <v>8206314.0591059215</v>
      </c>
    </row>
    <row r="253" spans="14:21">
      <c r="N253" s="215" t="s">
        <v>506</v>
      </c>
      <c r="O253" s="215" t="s">
        <v>29</v>
      </c>
      <c r="P253" s="148" t="s">
        <v>7</v>
      </c>
      <c r="Q253" s="148" t="s">
        <v>195</v>
      </c>
      <c r="R253" s="148" t="s">
        <v>201</v>
      </c>
      <c r="S253" s="217">
        <f t="shared" si="77"/>
        <v>8380.4699999999993</v>
      </c>
      <c r="T253" s="4">
        <f t="shared" si="78"/>
        <v>8380.4699999999993</v>
      </c>
      <c r="U253" s="140">
        <f>SUMIFS(S$8:S$51,P$8:P$51,P253,Q$8:Q$51,Q253,R$8:R$51,R253)</f>
        <v>14449.086206896553</v>
      </c>
    </row>
    <row r="254" spans="14:21">
      <c r="N254" s="215" t="s">
        <v>506</v>
      </c>
      <c r="O254" s="215" t="s">
        <v>29</v>
      </c>
      <c r="P254" s="148" t="s">
        <v>7</v>
      </c>
      <c r="Q254" s="148" t="s">
        <v>195</v>
      </c>
      <c r="R254" s="173" t="s">
        <v>367</v>
      </c>
      <c r="S254" s="217">
        <f t="shared" si="77"/>
        <v>-119.42</v>
      </c>
      <c r="T254" s="4">
        <f t="shared" si="78"/>
        <v>-119.42000000000003</v>
      </c>
      <c r="U254" s="140">
        <f>SUMIFS(S$8:S$51,P$8:P$51,P254,Q$8:Q$51,Q254,R$8:R$51,R254)</f>
        <v>11942</v>
      </c>
    </row>
    <row r="255" spans="14:21">
      <c r="N255" s="215" t="s">
        <v>506</v>
      </c>
      <c r="O255" s="215" t="s">
        <v>29</v>
      </c>
      <c r="P255" s="148" t="s">
        <v>7</v>
      </c>
      <c r="Q255" s="148" t="s">
        <v>195</v>
      </c>
      <c r="R255" s="173" t="s">
        <v>358</v>
      </c>
      <c r="S255" s="217">
        <f t="shared" si="77"/>
        <v>-146.76</v>
      </c>
      <c r="T255" s="4">
        <f t="shared" si="78"/>
        <v>-146.76000000000002</v>
      </c>
      <c r="U255" s="140">
        <f>SUMIFS(S$8:S$51,P$8:P$51,P255,Q$8:Q$51,Q255,R$8:R$51,R255)</f>
        <v>489.2</v>
      </c>
    </row>
    <row r="256" spans="14:21">
      <c r="N256" s="215" t="s">
        <v>506</v>
      </c>
      <c r="O256" s="215" t="s">
        <v>29</v>
      </c>
      <c r="P256" s="148" t="s">
        <v>7</v>
      </c>
      <c r="Q256" s="148" t="s">
        <v>195</v>
      </c>
      <c r="R256" s="173" t="s">
        <v>368</v>
      </c>
      <c r="S256" s="217">
        <f t="shared" si="77"/>
        <v>1556</v>
      </c>
      <c r="T256" s="4">
        <f t="shared" si="78"/>
        <v>1556</v>
      </c>
      <c r="U256" s="140">
        <f>SUMIFS(S$8:S$51,P$8:P$51,P256,Q$8:Q$51,Q256,R$8:R$51,R256)</f>
        <v>25.933333333333334</v>
      </c>
    </row>
    <row r="257" spans="14:21">
      <c r="N257" s="216" t="s">
        <v>506</v>
      </c>
      <c r="O257" s="216" t="s">
        <v>29</v>
      </c>
      <c r="P257" s="151" t="s">
        <v>7</v>
      </c>
      <c r="Q257" s="151" t="s">
        <v>195</v>
      </c>
      <c r="R257" s="427" t="s">
        <v>168</v>
      </c>
      <c r="S257" s="218">
        <f t="shared" si="77"/>
        <v>30849.452456491777</v>
      </c>
      <c r="T257" s="4">
        <f t="shared" si="78"/>
        <v>30849.452456491777</v>
      </c>
      <c r="U257" s="140">
        <f>SUMIFS(S$8:S$51,P$8:P$51,P257,Q$8:Q$51,Q257,R$8:R$51,R257)</f>
        <v>0</v>
      </c>
    </row>
    <row r="259" spans="14:21">
      <c r="S259" s="561" t="s">
        <v>215</v>
      </c>
      <c r="T259" s="441"/>
    </row>
    <row r="260" spans="14:21">
      <c r="S260" s="562" t="s">
        <v>501</v>
      </c>
      <c r="T260" s="560">
        <f ca="1">SUM(T133:T180)-SUM(S104:S105)</f>
        <v>0</v>
      </c>
    </row>
    <row r="261" spans="14:21">
      <c r="S261" s="563" t="s">
        <v>503</v>
      </c>
      <c r="T261" s="548">
        <f ca="1">SUM(T210:T257)-SUM(S181:S182)</f>
        <v>0</v>
      </c>
    </row>
  </sheetData>
  <phoneticPr fontId="24" type="noConversion"/>
  <printOptions horizontalCentered="1"/>
  <pageMargins left="0.2" right="0.2" top="0.2" bottom="0.2" header="0" footer="0"/>
  <pageSetup scale="99" fitToHeight="0" orientation="landscape" r:id="rId1"/>
  <rowBreaks count="19" manualBreakCount="19">
    <brk id="18" min="13" max="18" man="1"/>
    <brk id="25" max="12" man="1"/>
    <brk id="35" min="13" max="18" man="1"/>
    <brk id="43" max="12" man="1"/>
    <brk id="51" min="13" max="18" man="1"/>
    <brk id="61" max="12" man="1"/>
    <brk id="65" min="13" max="18" man="1"/>
    <brk id="74" min="13" max="18" man="1"/>
    <brk id="79" max="12" man="1"/>
    <brk id="89" min="13" max="18" man="1"/>
    <brk id="97" max="12" man="1"/>
    <brk id="103" min="13" max="18" man="1"/>
    <brk id="132" min="13" max="18" man="1"/>
    <brk id="148" min="13" max="18" man="1"/>
    <brk id="164" min="13" max="18" man="1"/>
    <brk id="180" min="13" max="18" man="1"/>
    <brk id="209" min="13" max="18" man="1"/>
    <brk id="225" min="13" max="18" man="1"/>
    <brk id="241" min="1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2EB13-4573-4819-A40B-B540C42E2364}">
  <sheetPr>
    <pageSetUpPr fitToPage="1"/>
  </sheetPr>
  <dimension ref="A1:AE220"/>
  <sheetViews>
    <sheetView showGridLines="0" view="pageBreakPreview" zoomScale="70" zoomScaleNormal="70" zoomScaleSheetLayoutView="70" workbookViewId="0">
      <pane ySplit="7" topLeftCell="A8" activePane="bottomLeft" state="frozen"/>
      <selection activeCell="G59" sqref="G59"/>
      <selection pane="bottomLeft" activeCell="A8" sqref="A8"/>
    </sheetView>
  </sheetViews>
  <sheetFormatPr defaultRowHeight="15.75"/>
  <cols>
    <col min="1" max="1" width="9.25" style="27" bestFit="1" customWidth="1"/>
    <col min="2" max="2" width="7.5" style="27" bestFit="1" customWidth="1"/>
    <col min="3" max="3" width="6.75" style="27" bestFit="1" customWidth="1"/>
    <col min="4" max="4" width="9.625" style="27" bestFit="1" customWidth="1"/>
    <col min="5" max="12" width="10.25" style="27" customWidth="1"/>
    <col min="13" max="13" width="46.25" style="157" bestFit="1" customWidth="1"/>
    <col min="14" max="14" width="7.125" style="157" bestFit="1" customWidth="1"/>
    <col min="15" max="15" width="15.125" style="157" bestFit="1" customWidth="1"/>
    <col min="16" max="16" width="12.625" style="157" bestFit="1" customWidth="1"/>
    <col min="17" max="17" width="10.5" style="157" bestFit="1" customWidth="1"/>
    <col min="18" max="18" width="41" style="157" bestFit="1" customWidth="1"/>
    <col min="19" max="19" width="13.375" style="158" customWidth="1"/>
    <col min="20" max="25" width="15.5" style="1" customWidth="1"/>
    <col min="26" max="26" width="15.5" style="241" customWidth="1"/>
    <col min="27" max="31" width="15.5" style="1" customWidth="1"/>
    <col min="32" max="16384" width="9" style="1"/>
  </cols>
  <sheetData>
    <row r="1" spans="1:31">
      <c r="A1" s="384" t="s">
        <v>351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42"/>
    </row>
    <row r="2" spans="1:31">
      <c r="A2" s="387" t="s">
        <v>488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401"/>
    </row>
    <row r="3" spans="1:31">
      <c r="A3" s="387" t="s">
        <v>508</v>
      </c>
      <c r="B3" s="343"/>
      <c r="C3" s="343"/>
      <c r="D3" s="343"/>
      <c r="E3" s="389"/>
      <c r="F3" s="389"/>
      <c r="G3" s="389"/>
      <c r="H3" s="389"/>
      <c r="I3" s="389"/>
      <c r="J3" s="389"/>
      <c r="K3" s="389"/>
      <c r="L3" s="399"/>
    </row>
    <row r="4" spans="1:31" s="236" customFormat="1">
      <c r="A4" s="612"/>
      <c r="B4" s="612"/>
      <c r="C4" s="612"/>
      <c r="D4" s="612"/>
      <c r="E4" s="516" t="s">
        <v>622</v>
      </c>
      <c r="F4" s="516"/>
      <c r="G4" s="516"/>
      <c r="H4" s="516"/>
      <c r="I4" s="516"/>
      <c r="J4" s="516"/>
      <c r="K4" s="516"/>
      <c r="L4" s="648"/>
      <c r="M4" s="272" t="s">
        <v>567</v>
      </c>
      <c r="N4" s="316"/>
      <c r="O4" s="316"/>
      <c r="P4" s="316"/>
      <c r="Q4" s="316"/>
      <c r="R4" s="316"/>
      <c r="S4" s="317"/>
      <c r="Z4" s="348"/>
      <c r="AB4" s="159"/>
      <c r="AC4" s="159"/>
      <c r="AD4" s="315"/>
      <c r="AE4" s="377"/>
    </row>
    <row r="5" spans="1:31" s="236" customFormat="1">
      <c r="A5" s="291"/>
      <c r="B5" s="428" t="s">
        <v>490</v>
      </c>
      <c r="C5" s="428" t="s">
        <v>6</v>
      </c>
      <c r="D5" s="429"/>
      <c r="E5" s="409" t="s">
        <v>501</v>
      </c>
      <c r="F5" s="409"/>
      <c r="G5" s="385"/>
      <c r="H5" s="435"/>
      <c r="I5" s="384" t="s">
        <v>503</v>
      </c>
      <c r="J5" s="409"/>
      <c r="K5" s="385"/>
      <c r="L5" s="435"/>
      <c r="M5" s="273" t="s">
        <v>488</v>
      </c>
      <c r="N5" s="315"/>
      <c r="O5" s="315"/>
      <c r="P5" s="315"/>
      <c r="Q5" s="315"/>
      <c r="R5" s="315"/>
      <c r="S5" s="318"/>
      <c r="Z5" s="348"/>
      <c r="AB5" s="439"/>
      <c r="AC5" s="42"/>
      <c r="AD5" s="315"/>
      <c r="AE5" s="377"/>
    </row>
    <row r="6" spans="1:31" s="159" customFormat="1">
      <c r="A6" s="227" t="s">
        <v>490</v>
      </c>
      <c r="B6" s="428" t="s">
        <v>527</v>
      </c>
      <c r="C6" s="429" t="s">
        <v>530</v>
      </c>
      <c r="D6" s="428"/>
      <c r="E6" s="646"/>
      <c r="F6" s="392"/>
      <c r="G6" s="392"/>
      <c r="H6" s="220" t="s">
        <v>494</v>
      </c>
      <c r="I6" s="392"/>
      <c r="J6" s="392"/>
      <c r="K6" s="392"/>
      <c r="L6" s="220" t="s">
        <v>494</v>
      </c>
      <c r="M6" s="256" t="s">
        <v>407</v>
      </c>
      <c r="N6" s="257"/>
      <c r="O6" s="258"/>
      <c r="P6" s="258"/>
      <c r="Q6" s="258"/>
      <c r="R6" s="259"/>
      <c r="S6" s="260"/>
      <c r="Z6" s="242"/>
      <c r="AB6" s="439"/>
      <c r="AC6" s="653"/>
      <c r="AD6" s="654"/>
      <c r="AE6" s="654"/>
    </row>
    <row r="7" spans="1:31" s="159" customFormat="1">
      <c r="A7" s="337" t="s">
        <v>527</v>
      </c>
      <c r="B7" s="430" t="s">
        <v>202</v>
      </c>
      <c r="C7" s="430" t="s">
        <v>202</v>
      </c>
      <c r="D7" s="430" t="s">
        <v>6</v>
      </c>
      <c r="E7" s="368" t="s">
        <v>406</v>
      </c>
      <c r="F7" s="284" t="s">
        <v>412</v>
      </c>
      <c r="G7" s="218" t="s">
        <v>414</v>
      </c>
      <c r="H7" s="218" t="s">
        <v>414</v>
      </c>
      <c r="I7" s="284" t="s">
        <v>406</v>
      </c>
      <c r="J7" s="284" t="s">
        <v>412</v>
      </c>
      <c r="K7" s="218" t="s">
        <v>414</v>
      </c>
      <c r="L7" s="218" t="s">
        <v>414</v>
      </c>
      <c r="M7" s="233"/>
      <c r="N7" s="233"/>
      <c r="O7" s="233" t="s">
        <v>209</v>
      </c>
      <c r="P7" s="233" t="s">
        <v>153</v>
      </c>
      <c r="Q7" s="234" t="s">
        <v>194</v>
      </c>
      <c r="R7" s="234" t="s">
        <v>401</v>
      </c>
      <c r="S7" s="235" t="s">
        <v>206</v>
      </c>
      <c r="Z7" s="242"/>
      <c r="AB7" s="439"/>
      <c r="AC7" s="653"/>
      <c r="AD7" s="653"/>
      <c r="AE7" s="653"/>
    </row>
    <row r="8" spans="1:31" s="159" customFormat="1">
      <c r="A8" s="227" t="s">
        <v>203</v>
      </c>
      <c r="B8" s="141">
        <v>100</v>
      </c>
      <c r="C8" s="141">
        <v>300</v>
      </c>
      <c r="D8" s="141">
        <f>B8*C8</f>
        <v>30000</v>
      </c>
      <c r="E8" s="227">
        <f t="shared" ref="E8:E28" si="0">SUMIFS(S$40:S$42,Q$40:Q$42,A8)+SUM(SUMIFS(S$43:S$44,Q$43:Q$44,A8),S$45)*B8+IF(D8&lt;=40000,S$46*D8,S$46*40000+S$47*(D8-40000))</f>
        <v>2904.8</v>
      </c>
      <c r="F8" s="141">
        <f t="shared" ref="F8:F28" ca="1" si="1">SUMIFS(S$103:S$105,Q$103:Q$105,A8)+SUM(SUMIFS(S$106:S$107,Q$106:Q$107,A8),S$108)*B8+S$109*D8</f>
        <v>2823.8199999999997</v>
      </c>
      <c r="G8" s="141">
        <f ca="1">F8-E8</f>
        <v>-80.980000000000473</v>
      </c>
      <c r="H8" s="512">
        <f ca="1">G8/E8*100</f>
        <v>-2.7877995042688126</v>
      </c>
      <c r="I8" s="141">
        <f t="shared" ref="I8:I28" ca="1" si="2">SUMIFS(S$103:S$105,Q$103:Q$105,A8)+SUM(SUMIFS(S$106:S$107,Q$106:Q$107,A8),S$108)*B8+S$109*D8</f>
        <v>2823.8199999999997</v>
      </c>
      <c r="J8" s="141">
        <f t="shared" ref="J8:J28" ca="1" si="3">SUMIFS(S$166:S$168,Q$166:Q$168,A8)+SUM(SUMIFS(S$169:S$170,Q$169:Q$170,A8),S$171)*B8+S$172*D8</f>
        <v>2921.32</v>
      </c>
      <c r="K8" s="141">
        <f ca="1">J8-I8</f>
        <v>97.500000000000455</v>
      </c>
      <c r="L8" s="512">
        <f ca="1">K8/I8*100</f>
        <v>3.452769652456618</v>
      </c>
      <c r="M8" s="262" t="s">
        <v>217</v>
      </c>
      <c r="N8" s="145" t="s">
        <v>402</v>
      </c>
      <c r="O8" s="145" t="s">
        <v>279</v>
      </c>
      <c r="P8" s="144" t="s">
        <v>4</v>
      </c>
      <c r="Q8" s="144" t="s">
        <v>203</v>
      </c>
      <c r="R8" s="144" t="s">
        <v>335</v>
      </c>
      <c r="S8" s="144">
        <f>SUMIFS('Normalized Units'!I:I,'Normalized Units'!B:B,"Normalized Billing Units",'Normalized Units'!C:C,O8,'Normalized Units'!D:D,P8,'Normalized Units'!G:G,Q8,'Normalized Units'!H:H,R8)</f>
        <v>2</v>
      </c>
      <c r="Z8" s="242"/>
      <c r="AB8" s="655"/>
      <c r="AC8" s="656"/>
      <c r="AD8" s="455"/>
      <c r="AE8" s="455"/>
    </row>
    <row r="9" spans="1:31" s="159" customFormat="1">
      <c r="A9" s="227" t="s">
        <v>203</v>
      </c>
      <c r="B9" s="141">
        <v>100</v>
      </c>
      <c r="C9" s="227">
        <v>500</v>
      </c>
      <c r="D9" s="141">
        <f t="shared" ref="D9:D28" si="4">B9*C9</f>
        <v>50000</v>
      </c>
      <c r="E9" s="227">
        <f t="shared" si="0"/>
        <v>4205.7999999999993</v>
      </c>
      <c r="F9" s="141">
        <f t="shared" ca="1" si="1"/>
        <v>4131.82</v>
      </c>
      <c r="G9" s="141">
        <f t="shared" ref="G9:G28" ca="1" si="5">F9-E9</f>
        <v>-73.979999999999563</v>
      </c>
      <c r="H9" s="512">
        <f t="shared" ref="H9:H28" ca="1" si="6">G9/E9*100</f>
        <v>-1.7589994769128245</v>
      </c>
      <c r="I9" s="141">
        <f t="shared" ca="1" si="2"/>
        <v>4131.82</v>
      </c>
      <c r="J9" s="141">
        <f t="shared" ca="1" si="3"/>
        <v>4285.72</v>
      </c>
      <c r="K9" s="141">
        <f t="shared" ref="K9:K28" ca="1" si="7">J9-I9</f>
        <v>153.90000000000055</v>
      </c>
      <c r="L9" s="512">
        <f t="shared" ref="L9:L28" ca="1" si="8">K9/I9*100</f>
        <v>3.7247508361932651</v>
      </c>
      <c r="M9" s="237" t="s">
        <v>217</v>
      </c>
      <c r="N9" s="102" t="s">
        <v>402</v>
      </c>
      <c r="O9" s="100" t="s">
        <v>279</v>
      </c>
      <c r="P9" s="100" t="s">
        <v>4</v>
      </c>
      <c r="Q9" s="100" t="s">
        <v>284</v>
      </c>
      <c r="R9" s="100" t="s">
        <v>335</v>
      </c>
      <c r="S9" s="100">
        <f>SUMIFS('Normalized Units'!I:I,'Normalized Units'!B:B,"Normalized Billing Units",'Normalized Units'!C:C,O9,'Normalized Units'!D:D,P9,'Normalized Units'!G:G,Q9,'Normalized Units'!H:H,R9)</f>
        <v>37</v>
      </c>
      <c r="U9" s="332"/>
      <c r="V9" s="377"/>
      <c r="W9" s="377"/>
      <c r="X9" s="377"/>
      <c r="Y9" s="377"/>
      <c r="Z9" s="242"/>
      <c r="AB9" s="655"/>
      <c r="AC9" s="656"/>
      <c r="AD9" s="455"/>
      <c r="AE9" s="455"/>
    </row>
    <row r="10" spans="1:31" s="159" customFormat="1">
      <c r="A10" s="227" t="s">
        <v>203</v>
      </c>
      <c r="B10" s="141">
        <v>100</v>
      </c>
      <c r="C10" s="227">
        <v>700</v>
      </c>
      <c r="D10" s="141">
        <f t="shared" si="4"/>
        <v>70000</v>
      </c>
      <c r="E10" s="227">
        <f t="shared" si="0"/>
        <v>5456.5999999999995</v>
      </c>
      <c r="F10" s="141">
        <f t="shared" ca="1" si="1"/>
        <v>5439.82</v>
      </c>
      <c r="G10" s="141">
        <f t="shared" ca="1" si="5"/>
        <v>-16.779999999999745</v>
      </c>
      <c r="H10" s="512">
        <f t="shared" ca="1" si="6"/>
        <v>-0.30751750174100623</v>
      </c>
      <c r="I10" s="141">
        <f t="shared" ca="1" si="2"/>
        <v>5439.82</v>
      </c>
      <c r="J10" s="141">
        <f t="shared" ca="1" si="3"/>
        <v>5650.1200000000008</v>
      </c>
      <c r="K10" s="141">
        <f t="shared" ca="1" si="7"/>
        <v>210.30000000000109</v>
      </c>
      <c r="L10" s="512">
        <f t="shared" ca="1" si="8"/>
        <v>3.865936740553936</v>
      </c>
      <c r="M10" s="237" t="s">
        <v>217</v>
      </c>
      <c r="N10" s="102" t="s">
        <v>402</v>
      </c>
      <c r="O10" s="100" t="s">
        <v>279</v>
      </c>
      <c r="P10" s="100" t="s">
        <v>4</v>
      </c>
      <c r="Q10" s="100" t="s">
        <v>204</v>
      </c>
      <c r="R10" s="100" t="s">
        <v>335</v>
      </c>
      <c r="S10" s="100">
        <f>SUMIFS('Normalized Units'!I:I,'Normalized Units'!B:B,"Normalized Billing Units",'Normalized Units'!C:C,O10,'Normalized Units'!D:D,P10,'Normalized Units'!G:G,Q10,'Normalized Units'!H:H,R10)</f>
        <v>7</v>
      </c>
      <c r="W10" s="143"/>
      <c r="X10" s="653"/>
      <c r="Y10" s="653"/>
      <c r="Z10" s="242"/>
      <c r="AB10" s="655"/>
      <c r="AC10" s="656"/>
      <c r="AD10" s="455"/>
      <c r="AE10" s="455"/>
    </row>
    <row r="11" spans="1:31" s="159" customFormat="1">
      <c r="A11" s="227" t="s">
        <v>284</v>
      </c>
      <c r="B11" s="227">
        <v>200</v>
      </c>
      <c r="C11" s="141">
        <v>300</v>
      </c>
      <c r="D11" s="141">
        <f t="shared" si="4"/>
        <v>60000</v>
      </c>
      <c r="E11" s="227">
        <f t="shared" si="0"/>
        <v>5666.2</v>
      </c>
      <c r="F11" s="141">
        <f t="shared" ca="1" si="1"/>
        <v>5776.3099999999995</v>
      </c>
      <c r="G11" s="141">
        <f t="shared" ca="1" si="5"/>
        <v>110.10999999999967</v>
      </c>
      <c r="H11" s="512">
        <f t="shared" ca="1" si="6"/>
        <v>1.9432776816914279</v>
      </c>
      <c r="I11" s="141">
        <f t="shared" ca="1" si="2"/>
        <v>5776.3099999999995</v>
      </c>
      <c r="J11" s="141">
        <f t="shared" ca="1" si="3"/>
        <v>6145.85</v>
      </c>
      <c r="K11" s="141">
        <f t="shared" ca="1" si="7"/>
        <v>369.54000000000087</v>
      </c>
      <c r="L11" s="512">
        <f t="shared" ca="1" si="8"/>
        <v>6.3975098289392518</v>
      </c>
      <c r="M11" s="237" t="s">
        <v>217</v>
      </c>
      <c r="N11" s="102" t="s">
        <v>402</v>
      </c>
      <c r="O11" s="100" t="s">
        <v>279</v>
      </c>
      <c r="P11" s="100" t="s">
        <v>4</v>
      </c>
      <c r="Q11" s="100" t="s">
        <v>284</v>
      </c>
      <c r="R11" s="100" t="s">
        <v>281</v>
      </c>
      <c r="S11" s="100">
        <f>SUMIFS('Normalized Units'!I:I,'Normalized Units'!B:B,"Normalized Billing Units",'Normalized Units'!C:C,O11,'Normalized Units'!D:D,P11,'Normalized Units'!G:G,Q11,'Normalized Units'!H:H,R11)</f>
        <v>5273</v>
      </c>
      <c r="U11" s="657"/>
      <c r="X11" s="143"/>
      <c r="Y11" s="143"/>
      <c r="Z11" s="242"/>
      <c r="AB11" s="655"/>
      <c r="AC11" s="656"/>
      <c r="AD11" s="455"/>
      <c r="AE11" s="455"/>
    </row>
    <row r="12" spans="1:31" s="159" customFormat="1">
      <c r="A12" s="227" t="s">
        <v>284</v>
      </c>
      <c r="B12" s="227">
        <v>200</v>
      </c>
      <c r="C12" s="227">
        <v>500</v>
      </c>
      <c r="D12" s="141">
        <f t="shared" si="4"/>
        <v>100000</v>
      </c>
      <c r="E12" s="227">
        <f t="shared" si="0"/>
        <v>8167.7999999999993</v>
      </c>
      <c r="F12" s="141">
        <f t="shared" ca="1" si="1"/>
        <v>8392.31</v>
      </c>
      <c r="G12" s="141">
        <f t="shared" ca="1" si="5"/>
        <v>224.51000000000022</v>
      </c>
      <c r="H12" s="512">
        <f t="shared" ca="1" si="6"/>
        <v>2.7487205857146386</v>
      </c>
      <c r="I12" s="141">
        <f t="shared" ca="1" si="2"/>
        <v>8392.31</v>
      </c>
      <c r="J12" s="141">
        <f t="shared" ca="1" si="3"/>
        <v>8874.65</v>
      </c>
      <c r="K12" s="141">
        <f t="shared" ca="1" si="7"/>
        <v>482.34000000000015</v>
      </c>
      <c r="L12" s="512">
        <f t="shared" ca="1" si="8"/>
        <v>5.7474044690913484</v>
      </c>
      <c r="M12" s="237" t="s">
        <v>217</v>
      </c>
      <c r="N12" s="102" t="s">
        <v>402</v>
      </c>
      <c r="O12" s="100" t="s">
        <v>279</v>
      </c>
      <c r="P12" s="100" t="s">
        <v>4</v>
      </c>
      <c r="Q12" s="100" t="s">
        <v>204</v>
      </c>
      <c r="R12" s="100" t="s">
        <v>281</v>
      </c>
      <c r="S12" s="100">
        <f>SUMIFS('Normalized Units'!I:I,'Normalized Units'!B:B,"Normalized Billing Units",'Normalized Units'!C:C,O12,'Normalized Units'!D:D,P12,'Normalized Units'!G:G,Q12,'Normalized Units'!H:H,R12)</f>
        <v>2167</v>
      </c>
      <c r="U12" s="657"/>
      <c r="X12" s="143"/>
      <c r="Y12" s="143"/>
      <c r="Z12" s="242"/>
      <c r="AB12" s="655"/>
      <c r="AC12" s="656"/>
      <c r="AD12" s="455"/>
      <c r="AE12" s="455"/>
    </row>
    <row r="13" spans="1:31" s="159" customFormat="1">
      <c r="A13" s="227" t="s">
        <v>284</v>
      </c>
      <c r="B13" s="227">
        <v>200</v>
      </c>
      <c r="C13" s="227">
        <v>700</v>
      </c>
      <c r="D13" s="141">
        <f t="shared" si="4"/>
        <v>140000</v>
      </c>
      <c r="E13" s="227">
        <f t="shared" si="0"/>
        <v>10669.4</v>
      </c>
      <c r="F13" s="141">
        <f t="shared" ca="1" si="1"/>
        <v>11008.31</v>
      </c>
      <c r="G13" s="141">
        <f t="shared" ca="1" si="5"/>
        <v>338.90999999999985</v>
      </c>
      <c r="H13" s="512">
        <f t="shared" ca="1" si="6"/>
        <v>3.1764672802594327</v>
      </c>
      <c r="I13" s="141">
        <f t="shared" ca="1" si="2"/>
        <v>11008.31</v>
      </c>
      <c r="J13" s="141">
        <f t="shared" ca="1" si="3"/>
        <v>11603.45</v>
      </c>
      <c r="K13" s="141">
        <f t="shared" ca="1" si="7"/>
        <v>595.14000000000124</v>
      </c>
      <c r="L13" s="512">
        <f t="shared" ca="1" si="8"/>
        <v>5.4062794379882222</v>
      </c>
      <c r="M13" s="237" t="s">
        <v>217</v>
      </c>
      <c r="N13" s="102" t="s">
        <v>402</v>
      </c>
      <c r="O13" s="100" t="s">
        <v>279</v>
      </c>
      <c r="P13" s="100" t="s">
        <v>4</v>
      </c>
      <c r="Q13" s="100" t="s">
        <v>195</v>
      </c>
      <c r="R13" s="100" t="s">
        <v>202</v>
      </c>
      <c r="S13" s="100">
        <f>SUMIFS('Normalized Units'!I:I,'Normalized Units'!B:B,"Normalized Billing Units",'Normalized Units'!C:C,O13,'Normalized Units'!D:D,P13,'Normalized Units'!G:G,Q13,'Normalized Units'!H:H,R13)</f>
        <v>5873</v>
      </c>
      <c r="U13" s="657"/>
      <c r="X13" s="143"/>
      <c r="Y13" s="143"/>
      <c r="AB13" s="655"/>
      <c r="AC13" s="656"/>
      <c r="AD13" s="455"/>
      <c r="AE13" s="455"/>
    </row>
    <row r="14" spans="1:31" s="159" customFormat="1">
      <c r="A14" s="227" t="s">
        <v>284</v>
      </c>
      <c r="B14" s="141">
        <v>300</v>
      </c>
      <c r="C14" s="141">
        <v>300</v>
      </c>
      <c r="D14" s="141">
        <f t="shared" si="4"/>
        <v>90000</v>
      </c>
      <c r="E14" s="227">
        <f t="shared" si="0"/>
        <v>8352.4</v>
      </c>
      <c r="F14" s="141">
        <f t="shared" ca="1" si="1"/>
        <v>8619.31</v>
      </c>
      <c r="G14" s="141">
        <f t="shared" ca="1" si="5"/>
        <v>266.90999999999985</v>
      </c>
      <c r="H14" s="512">
        <f t="shared" ca="1" si="6"/>
        <v>3.195608447871269</v>
      </c>
      <c r="I14" s="141">
        <f t="shared" ca="1" si="2"/>
        <v>8619.31</v>
      </c>
      <c r="J14" s="141">
        <f t="shared" ca="1" si="3"/>
        <v>9173.4500000000007</v>
      </c>
      <c r="K14" s="141">
        <f t="shared" ca="1" si="7"/>
        <v>554.14000000000124</v>
      </c>
      <c r="L14" s="512">
        <f t="shared" ca="1" si="8"/>
        <v>6.4290529056270307</v>
      </c>
      <c r="M14" s="237" t="s">
        <v>217</v>
      </c>
      <c r="N14" s="102" t="s">
        <v>402</v>
      </c>
      <c r="O14" s="100" t="s">
        <v>279</v>
      </c>
      <c r="P14" s="100" t="s">
        <v>4</v>
      </c>
      <c r="Q14" s="100" t="s">
        <v>195</v>
      </c>
      <c r="R14" s="100" t="s">
        <v>197</v>
      </c>
      <c r="S14" s="100">
        <f>SUMIFS('Normalized Units'!I:I,'Normalized Units'!B:B,"Normalized Billing Units",'Normalized Units'!C:C,O14,'Normalized Units'!D:D,P14,'Normalized Units'!G:G,Q14,'Normalized Units'!H:H,R14)</f>
        <v>1479518.9669764682</v>
      </c>
      <c r="U14" s="77"/>
      <c r="X14" s="143"/>
      <c r="Y14" s="143"/>
      <c r="AB14" s="655"/>
      <c r="AC14" s="656"/>
      <c r="AD14" s="455"/>
      <c r="AE14" s="455"/>
    </row>
    <row r="15" spans="1:31" s="159" customFormat="1">
      <c r="A15" s="227" t="s">
        <v>284</v>
      </c>
      <c r="B15" s="141">
        <v>300</v>
      </c>
      <c r="C15" s="227">
        <v>500</v>
      </c>
      <c r="D15" s="141">
        <f t="shared" si="4"/>
        <v>150000</v>
      </c>
      <c r="E15" s="227">
        <f t="shared" si="0"/>
        <v>12104.8</v>
      </c>
      <c r="F15" s="141">
        <f t="shared" ca="1" si="1"/>
        <v>12543.31</v>
      </c>
      <c r="G15" s="141">
        <f t="shared" ca="1" si="5"/>
        <v>438.51000000000022</v>
      </c>
      <c r="H15" s="512">
        <f t="shared" ca="1" si="6"/>
        <v>3.6226125173484918</v>
      </c>
      <c r="I15" s="141">
        <f t="shared" ca="1" si="2"/>
        <v>12543.31</v>
      </c>
      <c r="J15" s="141">
        <f t="shared" ca="1" si="3"/>
        <v>13266.65</v>
      </c>
      <c r="K15" s="141">
        <f t="shared" ca="1" si="7"/>
        <v>723.34000000000015</v>
      </c>
      <c r="L15" s="512">
        <f t="shared" ca="1" si="8"/>
        <v>5.7667394013222992</v>
      </c>
      <c r="M15" s="237" t="s">
        <v>217</v>
      </c>
      <c r="N15" s="102" t="s">
        <v>402</v>
      </c>
      <c r="O15" s="100" t="s">
        <v>279</v>
      </c>
      <c r="P15" s="100" t="s">
        <v>4</v>
      </c>
      <c r="Q15" s="100" t="s">
        <v>195</v>
      </c>
      <c r="R15" s="100" t="s">
        <v>198</v>
      </c>
      <c r="S15" s="100">
        <f>SUMIFS('Normalized Units'!I:I,'Normalized Units'!B:B,"Normalized Billing Units",'Normalized Units'!C:C,O15,'Normalized Units'!D:D,P15,'Normalized Units'!G:G,Q15,'Normalized Units'!H:H,R15)</f>
        <v>811580.59804120462</v>
      </c>
      <c r="U15" s="657"/>
      <c r="X15" s="143"/>
      <c r="Y15" s="143"/>
      <c r="AB15" s="655"/>
      <c r="AC15" s="656"/>
      <c r="AD15" s="455"/>
      <c r="AE15" s="455"/>
    </row>
    <row r="16" spans="1:31" s="159" customFormat="1">
      <c r="A16" s="227" t="s">
        <v>284</v>
      </c>
      <c r="B16" s="141">
        <v>300</v>
      </c>
      <c r="C16" s="227">
        <v>700</v>
      </c>
      <c r="D16" s="141">
        <f t="shared" si="4"/>
        <v>210000</v>
      </c>
      <c r="E16" s="227">
        <f t="shared" si="0"/>
        <v>15857.199999999999</v>
      </c>
      <c r="F16" s="141">
        <f t="shared" ca="1" si="1"/>
        <v>16467.310000000001</v>
      </c>
      <c r="G16" s="141">
        <f t="shared" ca="1" si="5"/>
        <v>610.1100000000024</v>
      </c>
      <c r="H16" s="512">
        <f t="shared" ca="1" si="6"/>
        <v>3.8475266755795627</v>
      </c>
      <c r="I16" s="141">
        <f t="shared" ca="1" si="2"/>
        <v>16467.310000000001</v>
      </c>
      <c r="J16" s="141">
        <f t="shared" ca="1" si="3"/>
        <v>17359.850000000002</v>
      </c>
      <c r="K16" s="141">
        <f t="shared" ca="1" si="7"/>
        <v>892.54000000000087</v>
      </c>
      <c r="L16" s="512">
        <f t="shared" ca="1" si="8"/>
        <v>5.4200716449741986</v>
      </c>
      <c r="M16" s="237" t="s">
        <v>217</v>
      </c>
      <c r="N16" s="102" t="s">
        <v>402</v>
      </c>
      <c r="O16" s="100" t="s">
        <v>279</v>
      </c>
      <c r="P16" s="100" t="s">
        <v>5</v>
      </c>
      <c r="Q16" s="100" t="s">
        <v>203</v>
      </c>
      <c r="R16" s="100" t="s">
        <v>335</v>
      </c>
      <c r="S16" s="100">
        <f>SUMIFS('Normalized Units'!I:I,'Normalized Units'!B:B,"Normalized Billing Units",'Normalized Units'!C:C,O16,'Normalized Units'!D:D,P16,'Normalized Units'!G:G,Q16,'Normalized Units'!H:H,R16)</f>
        <v>231.48648041034534</v>
      </c>
      <c r="U16" s="657"/>
      <c r="X16" s="143"/>
      <c r="Y16" s="143"/>
      <c r="AB16" s="655"/>
      <c r="AC16" s="656"/>
      <c r="AD16" s="455"/>
      <c r="AE16" s="455"/>
    </row>
    <row r="17" spans="1:31" s="159" customFormat="1">
      <c r="A17" s="227" t="s">
        <v>204</v>
      </c>
      <c r="B17" s="227">
        <v>400</v>
      </c>
      <c r="C17" s="141">
        <v>300</v>
      </c>
      <c r="D17" s="141">
        <f t="shared" si="4"/>
        <v>120000</v>
      </c>
      <c r="E17" s="227">
        <f t="shared" si="0"/>
        <v>11002.599999999999</v>
      </c>
      <c r="F17" s="141">
        <f t="shared" ca="1" si="1"/>
        <v>11363.64</v>
      </c>
      <c r="G17" s="141">
        <f t="shared" ca="1" si="5"/>
        <v>361.04000000000087</v>
      </c>
      <c r="H17" s="512">
        <f t="shared" ca="1" si="6"/>
        <v>3.281406213076917</v>
      </c>
      <c r="I17" s="141">
        <f t="shared" ca="1" si="2"/>
        <v>11363.64</v>
      </c>
      <c r="J17" s="141">
        <f t="shared" ca="1" si="3"/>
        <v>12038.710000000001</v>
      </c>
      <c r="K17" s="141">
        <f t="shared" ca="1" si="7"/>
        <v>675.07000000000153</v>
      </c>
      <c r="L17" s="512">
        <f t="shared" ca="1" si="8"/>
        <v>5.9406140990035023</v>
      </c>
      <c r="M17" s="237" t="s">
        <v>217</v>
      </c>
      <c r="N17" s="102" t="s">
        <v>402</v>
      </c>
      <c r="O17" s="100" t="s">
        <v>279</v>
      </c>
      <c r="P17" s="100" t="s">
        <v>5</v>
      </c>
      <c r="Q17" s="100" t="s">
        <v>284</v>
      </c>
      <c r="R17" s="100" t="s">
        <v>335</v>
      </c>
      <c r="S17" s="100">
        <f>SUMIFS('Normalized Units'!I:I,'Normalized Units'!B:B,"Normalized Billing Units",'Normalized Units'!C:C,O17,'Normalized Units'!D:D,P17,'Normalized Units'!G:G,Q17,'Normalized Units'!H:H,R17)</f>
        <v>8003.4963466443714</v>
      </c>
      <c r="U17" s="657"/>
      <c r="X17" s="143"/>
      <c r="Y17" s="143"/>
      <c r="AB17" s="655"/>
      <c r="AC17" s="656"/>
      <c r="AD17" s="455"/>
      <c r="AE17" s="455"/>
    </row>
    <row r="18" spans="1:31" s="159" customFormat="1">
      <c r="A18" s="227" t="s">
        <v>204</v>
      </c>
      <c r="B18" s="227">
        <v>400</v>
      </c>
      <c r="C18" s="227">
        <v>500</v>
      </c>
      <c r="D18" s="141">
        <f t="shared" si="4"/>
        <v>200000</v>
      </c>
      <c r="E18" s="227">
        <f t="shared" si="0"/>
        <v>16005.8</v>
      </c>
      <c r="F18" s="141">
        <f t="shared" ca="1" si="1"/>
        <v>16595.64</v>
      </c>
      <c r="G18" s="141">
        <f t="shared" ca="1" si="5"/>
        <v>589.84000000000015</v>
      </c>
      <c r="H18" s="512">
        <f t="shared" ca="1" si="6"/>
        <v>3.6851641280036</v>
      </c>
      <c r="I18" s="141">
        <f t="shared" ca="1" si="2"/>
        <v>16595.64</v>
      </c>
      <c r="J18" s="141">
        <f t="shared" ca="1" si="3"/>
        <v>17496.310000000001</v>
      </c>
      <c r="K18" s="141">
        <f t="shared" ca="1" si="7"/>
        <v>900.67000000000189</v>
      </c>
      <c r="L18" s="512">
        <f t="shared" ca="1" si="8"/>
        <v>5.4271483353459216</v>
      </c>
      <c r="M18" s="237" t="s">
        <v>217</v>
      </c>
      <c r="N18" s="102" t="s">
        <v>402</v>
      </c>
      <c r="O18" s="100" t="s">
        <v>279</v>
      </c>
      <c r="P18" s="100" t="s">
        <v>5</v>
      </c>
      <c r="Q18" s="100" t="s">
        <v>204</v>
      </c>
      <c r="R18" s="100" t="s">
        <v>335</v>
      </c>
      <c r="S18" s="100">
        <f>SUMIFS('Normalized Units'!I:I,'Normalized Units'!B:B,"Normalized Billing Units",'Normalized Units'!C:C,O18,'Normalized Units'!D:D,P18,'Normalized Units'!G:G,Q18,'Normalized Units'!H:H,R18)</f>
        <v>3417.4838396119494</v>
      </c>
      <c r="U18" s="657"/>
      <c r="X18" s="143"/>
      <c r="Y18" s="143"/>
      <c r="AB18" s="655"/>
      <c r="AC18" s="656"/>
      <c r="AD18" s="455"/>
      <c r="AE18" s="455"/>
    </row>
    <row r="19" spans="1:31" s="159" customFormat="1">
      <c r="A19" s="227" t="s">
        <v>204</v>
      </c>
      <c r="B19" s="227">
        <v>400</v>
      </c>
      <c r="C19" s="227">
        <v>700</v>
      </c>
      <c r="D19" s="141">
        <f t="shared" si="4"/>
        <v>280000</v>
      </c>
      <c r="E19" s="227">
        <f t="shared" si="0"/>
        <v>21009</v>
      </c>
      <c r="F19" s="141">
        <f t="shared" ca="1" si="1"/>
        <v>21827.64</v>
      </c>
      <c r="G19" s="141">
        <f t="shared" ca="1" si="5"/>
        <v>818.63999999999942</v>
      </c>
      <c r="H19" s="512">
        <f t="shared" ca="1" si="6"/>
        <v>3.896615736113092</v>
      </c>
      <c r="I19" s="141">
        <f t="shared" ca="1" si="2"/>
        <v>21827.64</v>
      </c>
      <c r="J19" s="141">
        <f t="shared" ca="1" si="3"/>
        <v>22953.910000000003</v>
      </c>
      <c r="K19" s="141">
        <f t="shared" ca="1" si="7"/>
        <v>1126.2700000000041</v>
      </c>
      <c r="L19" s="512">
        <f t="shared" ca="1" si="8"/>
        <v>5.1598340452747253</v>
      </c>
      <c r="M19" s="237" t="s">
        <v>217</v>
      </c>
      <c r="N19" s="102" t="s">
        <v>402</v>
      </c>
      <c r="O19" s="100" t="s">
        <v>279</v>
      </c>
      <c r="P19" s="100" t="s">
        <v>5</v>
      </c>
      <c r="Q19" s="100" t="s">
        <v>284</v>
      </c>
      <c r="R19" s="100" t="s">
        <v>281</v>
      </c>
      <c r="S19" s="100">
        <f>SUMIFS('Normalized Units'!I:I,'Normalized Units'!B:B,"Normalized Billing Units",'Normalized Units'!C:C,O19,'Normalized Units'!D:D,P19,'Normalized Units'!G:G,Q19,'Normalized Units'!H:H,R19)</f>
        <v>1389404.3666666667</v>
      </c>
      <c r="U19" s="657"/>
      <c r="X19" s="361"/>
      <c r="Y19" s="361"/>
      <c r="AB19" s="655"/>
      <c r="AC19" s="656"/>
      <c r="AD19" s="455"/>
      <c r="AE19" s="455"/>
    </row>
    <row r="20" spans="1:31" s="159" customFormat="1">
      <c r="A20" s="227" t="s">
        <v>204</v>
      </c>
      <c r="B20" s="141">
        <v>600</v>
      </c>
      <c r="C20" s="141">
        <v>300</v>
      </c>
      <c r="D20" s="141">
        <f t="shared" si="4"/>
        <v>180000</v>
      </c>
      <c r="E20" s="227">
        <f t="shared" si="0"/>
        <v>16311</v>
      </c>
      <c r="F20" s="141">
        <f t="shared" ca="1" si="1"/>
        <v>16955.64</v>
      </c>
      <c r="G20" s="141">
        <f t="shared" ca="1" si="5"/>
        <v>644.63999999999942</v>
      </c>
      <c r="H20" s="512">
        <f t="shared" ca="1" si="6"/>
        <v>3.9521795107596063</v>
      </c>
      <c r="I20" s="141">
        <f t="shared" ca="1" si="2"/>
        <v>16955.64</v>
      </c>
      <c r="J20" s="141">
        <f t="shared" ca="1" si="3"/>
        <v>17967.91</v>
      </c>
      <c r="K20" s="141">
        <f t="shared" ca="1" si="7"/>
        <v>1012.2700000000004</v>
      </c>
      <c r="L20" s="512">
        <f t="shared" ca="1" si="8"/>
        <v>5.9701078815072774</v>
      </c>
      <c r="M20" s="237" t="s">
        <v>217</v>
      </c>
      <c r="N20" s="102" t="s">
        <v>402</v>
      </c>
      <c r="O20" s="100" t="s">
        <v>279</v>
      </c>
      <c r="P20" s="100" t="s">
        <v>5</v>
      </c>
      <c r="Q20" s="100" t="s">
        <v>204</v>
      </c>
      <c r="R20" s="100" t="s">
        <v>281</v>
      </c>
      <c r="S20" s="100">
        <f>SUMIFS('Normalized Units'!I:I,'Normalized Units'!B:B,"Normalized Billing Units",'Normalized Units'!C:C,O20,'Normalized Units'!D:D,P20,'Normalized Units'!G:G,Q20,'Normalized Units'!H:H,R20)</f>
        <v>1689588.1328828828</v>
      </c>
      <c r="U20" s="657"/>
      <c r="X20" s="361"/>
      <c r="Y20" s="361"/>
      <c r="AB20" s="655"/>
      <c r="AC20" s="656"/>
      <c r="AD20" s="455"/>
      <c r="AE20" s="455"/>
    </row>
    <row r="21" spans="1:31" s="159" customFormat="1">
      <c r="A21" s="227" t="s">
        <v>204</v>
      </c>
      <c r="B21" s="141">
        <v>600</v>
      </c>
      <c r="C21" s="227">
        <v>500</v>
      </c>
      <c r="D21" s="141">
        <f t="shared" si="4"/>
        <v>300000</v>
      </c>
      <c r="E21" s="227">
        <f t="shared" si="0"/>
        <v>23815.8</v>
      </c>
      <c r="F21" s="141">
        <f t="shared" ca="1" si="1"/>
        <v>24803.64</v>
      </c>
      <c r="G21" s="141">
        <f t="shared" ca="1" si="5"/>
        <v>987.84000000000015</v>
      </c>
      <c r="H21" s="512">
        <f t="shared" ca="1" si="6"/>
        <v>4.1478346307913245</v>
      </c>
      <c r="I21" s="141">
        <f t="shared" ca="1" si="2"/>
        <v>24803.64</v>
      </c>
      <c r="J21" s="141">
        <f t="shared" ca="1" si="3"/>
        <v>26154.31</v>
      </c>
      <c r="K21" s="141">
        <f t="shared" ca="1" si="7"/>
        <v>1350.6700000000019</v>
      </c>
      <c r="L21" s="512">
        <f t="shared" ca="1" si="8"/>
        <v>5.44545074835791</v>
      </c>
      <c r="M21" s="237" t="s">
        <v>217</v>
      </c>
      <c r="N21" s="102" t="s">
        <v>402</v>
      </c>
      <c r="O21" s="100" t="s">
        <v>279</v>
      </c>
      <c r="P21" s="100" t="s">
        <v>5</v>
      </c>
      <c r="Q21" s="100" t="s">
        <v>195</v>
      </c>
      <c r="R21" s="100" t="s">
        <v>202</v>
      </c>
      <c r="S21" s="100">
        <f>SUMIFS('Normalized Units'!I:I,'Normalized Units'!B:B,"Normalized Billing Units",'Normalized Units'!C:C,O21,'Normalized Units'!D:D,P21,'Normalized Units'!G:G,Q21,'Normalized Units'!H:H,R21)</f>
        <v>2267892.5</v>
      </c>
      <c r="U21" s="657"/>
      <c r="X21" s="361"/>
      <c r="Y21" s="361"/>
      <c r="AB21" s="655"/>
      <c r="AC21" s="656"/>
      <c r="AD21" s="455"/>
      <c r="AE21" s="455"/>
    </row>
    <row r="22" spans="1:31" s="159" customFormat="1">
      <c r="A22" s="227" t="s">
        <v>204</v>
      </c>
      <c r="B22" s="141">
        <v>600</v>
      </c>
      <c r="C22" s="227">
        <v>700</v>
      </c>
      <c r="D22" s="141">
        <f t="shared" si="4"/>
        <v>420000</v>
      </c>
      <c r="E22" s="227">
        <f t="shared" si="0"/>
        <v>31320.6</v>
      </c>
      <c r="F22" s="141">
        <f t="shared" ca="1" si="1"/>
        <v>32651.64</v>
      </c>
      <c r="G22" s="141">
        <f t="shared" ca="1" si="5"/>
        <v>1331.0400000000009</v>
      </c>
      <c r="H22" s="512">
        <f t="shared" ca="1" si="6"/>
        <v>4.2497270167238206</v>
      </c>
      <c r="I22" s="141">
        <f t="shared" ca="1" si="2"/>
        <v>32651.64</v>
      </c>
      <c r="J22" s="141">
        <f t="shared" ca="1" si="3"/>
        <v>34340.71</v>
      </c>
      <c r="K22" s="141">
        <f t="shared" ca="1" si="7"/>
        <v>1689.0699999999997</v>
      </c>
      <c r="L22" s="512">
        <f t="shared" ca="1" si="8"/>
        <v>5.1730020299133512</v>
      </c>
      <c r="M22" s="237" t="s">
        <v>217</v>
      </c>
      <c r="N22" s="102" t="s">
        <v>402</v>
      </c>
      <c r="O22" s="100" t="s">
        <v>279</v>
      </c>
      <c r="P22" s="100" t="s">
        <v>5</v>
      </c>
      <c r="Q22" s="100" t="s">
        <v>195</v>
      </c>
      <c r="R22" s="100" t="s">
        <v>197</v>
      </c>
      <c r="S22" s="100">
        <f>SUMIFS('Normalized Units'!I:I,'Normalized Units'!B:B,"Normalized Billing Units",'Normalized Units'!C:C,O22,'Normalized Units'!D:D,P22,'Normalized Units'!G:G,Q22,'Normalized Units'!H:H,R22)</f>
        <v>370617327.95669943</v>
      </c>
      <c r="U22" s="657"/>
      <c r="X22" s="361"/>
      <c r="Y22" s="361"/>
      <c r="Z22" s="242"/>
      <c r="AB22" s="655"/>
      <c r="AC22" s="656"/>
      <c r="AD22" s="455"/>
      <c r="AE22" s="455"/>
    </row>
    <row r="23" spans="1:31" s="159" customFormat="1">
      <c r="A23" s="227" t="s">
        <v>204</v>
      </c>
      <c r="B23" s="141">
        <v>800</v>
      </c>
      <c r="C23" s="141">
        <v>300</v>
      </c>
      <c r="D23" s="141">
        <f t="shared" si="4"/>
        <v>240000</v>
      </c>
      <c r="E23" s="227">
        <f t="shared" si="0"/>
        <v>21619.399999999998</v>
      </c>
      <c r="F23" s="141">
        <f t="shared" ca="1" si="1"/>
        <v>22547.64</v>
      </c>
      <c r="G23" s="141">
        <f t="shared" ca="1" si="5"/>
        <v>928.2400000000016</v>
      </c>
      <c r="H23" s="512">
        <f t="shared" ca="1" si="6"/>
        <v>4.2935511623819433</v>
      </c>
      <c r="I23" s="141">
        <f t="shared" ca="1" si="2"/>
        <v>22547.64</v>
      </c>
      <c r="J23" s="141">
        <f t="shared" ca="1" si="3"/>
        <v>23897.11</v>
      </c>
      <c r="K23" s="141">
        <f t="shared" ca="1" si="7"/>
        <v>1349.4700000000012</v>
      </c>
      <c r="L23" s="512">
        <f t="shared" ca="1" si="8"/>
        <v>5.9849722631725593</v>
      </c>
      <c r="M23" s="237" t="s">
        <v>217</v>
      </c>
      <c r="N23" s="102" t="s">
        <v>402</v>
      </c>
      <c r="O23" s="100" t="s">
        <v>279</v>
      </c>
      <c r="P23" s="100" t="s">
        <v>5</v>
      </c>
      <c r="Q23" s="100" t="s">
        <v>195</v>
      </c>
      <c r="R23" s="100" t="s">
        <v>198</v>
      </c>
      <c r="S23" s="100">
        <f>SUMIFS('Normalized Units'!I:I,'Normalized Units'!B:B,"Normalized Billing Units",'Normalized Units'!C:C,O23,'Normalized Units'!D:D,P23,'Normalized Units'!G:G,Q23,'Normalized Units'!H:H,R23)</f>
        <v>466062388.12491369</v>
      </c>
      <c r="Z23" s="242"/>
      <c r="AB23" s="655"/>
      <c r="AC23" s="656"/>
      <c r="AD23" s="455"/>
      <c r="AE23" s="455"/>
    </row>
    <row r="24" spans="1:31" s="159" customFormat="1">
      <c r="A24" s="227" t="s">
        <v>204</v>
      </c>
      <c r="B24" s="141">
        <v>800</v>
      </c>
      <c r="C24" s="227">
        <v>500</v>
      </c>
      <c r="D24" s="141">
        <f t="shared" si="4"/>
        <v>400000</v>
      </c>
      <c r="E24" s="227">
        <f t="shared" si="0"/>
        <v>31625.799999999996</v>
      </c>
      <c r="F24" s="141">
        <f t="shared" ca="1" si="1"/>
        <v>33011.64</v>
      </c>
      <c r="G24" s="141">
        <f t="shared" ca="1" si="5"/>
        <v>1385.8400000000038</v>
      </c>
      <c r="H24" s="512">
        <f t="shared" ca="1" si="6"/>
        <v>4.3819919179910194</v>
      </c>
      <c r="I24" s="141">
        <f t="shared" ca="1" si="2"/>
        <v>33011.64</v>
      </c>
      <c r="J24" s="141">
        <f t="shared" ca="1" si="3"/>
        <v>34812.31</v>
      </c>
      <c r="K24" s="141">
        <f t="shared" ca="1" si="7"/>
        <v>1800.6699999999983</v>
      </c>
      <c r="L24" s="512">
        <f t="shared" ca="1" si="8"/>
        <v>5.4546517531391903</v>
      </c>
      <c r="M24" s="237" t="s">
        <v>217</v>
      </c>
      <c r="N24" s="102" t="s">
        <v>402</v>
      </c>
      <c r="O24" s="100" t="s">
        <v>279</v>
      </c>
      <c r="P24" s="100" t="s">
        <v>5</v>
      </c>
      <c r="Q24" s="100" t="s">
        <v>195</v>
      </c>
      <c r="R24" s="100" t="s">
        <v>201</v>
      </c>
      <c r="S24" s="100">
        <f>SUMIFS('Normalized Units'!I:I,'Normalized Units'!B:B,"Normalized Billing Units",'Normalized Units'!C:C,O24,'Normalized Units'!D:D,P24,'Normalized Units'!G:G,Q24,'Normalized Units'!H:H,R24)</f>
        <v>322568.75862068968</v>
      </c>
      <c r="Z24" s="242"/>
      <c r="AB24" s="655"/>
      <c r="AC24" s="656"/>
      <c r="AD24" s="455"/>
      <c r="AE24" s="455"/>
    </row>
    <row r="25" spans="1:31" s="159" customFormat="1">
      <c r="A25" s="227" t="s">
        <v>204</v>
      </c>
      <c r="B25" s="141">
        <v>800</v>
      </c>
      <c r="C25" s="227">
        <v>700</v>
      </c>
      <c r="D25" s="141">
        <f t="shared" si="4"/>
        <v>560000</v>
      </c>
      <c r="E25" s="227">
        <f t="shared" si="0"/>
        <v>41632.199999999997</v>
      </c>
      <c r="F25" s="141">
        <f t="shared" ca="1" si="1"/>
        <v>43475.64</v>
      </c>
      <c r="G25" s="141">
        <f t="shared" ca="1" si="5"/>
        <v>1843.4400000000023</v>
      </c>
      <c r="H25" s="512">
        <f t="shared" ca="1" si="6"/>
        <v>4.4279187744101982</v>
      </c>
      <c r="I25" s="141">
        <f t="shared" ca="1" si="2"/>
        <v>43475.64</v>
      </c>
      <c r="J25" s="141">
        <f t="shared" ca="1" si="3"/>
        <v>45727.51</v>
      </c>
      <c r="K25" s="141">
        <f t="shared" ca="1" si="7"/>
        <v>2251.8700000000026</v>
      </c>
      <c r="L25" s="512">
        <f t="shared" ca="1" si="8"/>
        <v>5.1796132270853352</v>
      </c>
      <c r="M25" s="237" t="s">
        <v>217</v>
      </c>
      <c r="N25" s="102" t="s">
        <v>402</v>
      </c>
      <c r="O25" s="100" t="s">
        <v>279</v>
      </c>
      <c r="P25" s="100" t="s">
        <v>5</v>
      </c>
      <c r="Q25" s="100" t="s">
        <v>195</v>
      </c>
      <c r="R25" s="148" t="s">
        <v>367</v>
      </c>
      <c r="S25" s="100">
        <f>SUMIFS('Normalized Units'!I:I,'Normalized Units'!B:B,"Normalized Billing Units",'Normalized Units'!C:C,O25,'Normalized Units'!D:D,P25,'Normalized Units'!G:G,Q25,'Normalized Units'!H:H,R25)</f>
        <v>907042</v>
      </c>
      <c r="U25" s="658"/>
      <c r="V25" s="377"/>
      <c r="W25" s="377"/>
      <c r="X25" s="377"/>
      <c r="Y25" s="377"/>
      <c r="Z25" s="242"/>
      <c r="AB25" s="655"/>
      <c r="AC25" s="656"/>
      <c r="AD25" s="455"/>
      <c r="AE25" s="455"/>
    </row>
    <row r="26" spans="1:31" s="159" customFormat="1">
      <c r="A26" s="227" t="s">
        <v>204</v>
      </c>
      <c r="B26" s="227">
        <v>1000</v>
      </c>
      <c r="C26" s="141">
        <v>300</v>
      </c>
      <c r="D26" s="141">
        <f t="shared" si="4"/>
        <v>300000</v>
      </c>
      <c r="E26" s="227">
        <f t="shared" si="0"/>
        <v>26927.8</v>
      </c>
      <c r="F26" s="141">
        <f t="shared" ca="1" si="1"/>
        <v>28139.64</v>
      </c>
      <c r="G26" s="141">
        <f t="shared" ca="1" si="5"/>
        <v>1211.8400000000001</v>
      </c>
      <c r="H26" s="512">
        <f t="shared" ca="1" si="6"/>
        <v>4.5003305134470706</v>
      </c>
      <c r="I26" s="141">
        <f t="shared" ca="1" si="2"/>
        <v>28139.64</v>
      </c>
      <c r="J26" s="141">
        <f t="shared" ca="1" si="3"/>
        <v>29826.309999999998</v>
      </c>
      <c r="K26" s="141">
        <f t="shared" ca="1" si="7"/>
        <v>1686.6699999999983</v>
      </c>
      <c r="L26" s="512">
        <f t="shared" ca="1" si="8"/>
        <v>5.9939288491252851</v>
      </c>
      <c r="M26" s="237" t="s">
        <v>217</v>
      </c>
      <c r="N26" s="102" t="s">
        <v>402</v>
      </c>
      <c r="O26" s="100" t="s">
        <v>279</v>
      </c>
      <c r="P26" s="100" t="s">
        <v>5</v>
      </c>
      <c r="Q26" s="100" t="s">
        <v>195</v>
      </c>
      <c r="R26" s="148" t="s">
        <v>358</v>
      </c>
      <c r="S26" s="100">
        <f>SUMIFS('Normalized Units'!I:I,'Normalized Units'!B:B,"Normalized Billing Units",'Normalized Units'!C:C,O26,'Normalized Units'!D:D,P26,'Normalized Units'!G:G,Q26,'Normalized Units'!H:H,R26)</f>
        <v>44474</v>
      </c>
      <c r="W26" s="143"/>
      <c r="X26" s="653"/>
      <c r="Y26" s="653"/>
      <c r="Z26" s="242"/>
      <c r="AB26" s="655"/>
      <c r="AC26" s="656"/>
      <c r="AD26" s="455"/>
      <c r="AE26" s="455"/>
    </row>
    <row r="27" spans="1:31" s="159" customFormat="1">
      <c r="A27" s="227" t="s">
        <v>204</v>
      </c>
      <c r="B27" s="227">
        <v>1000</v>
      </c>
      <c r="C27" s="227">
        <v>500</v>
      </c>
      <c r="D27" s="141">
        <f t="shared" si="4"/>
        <v>500000</v>
      </c>
      <c r="E27" s="227">
        <f t="shared" si="0"/>
        <v>39435.799999999996</v>
      </c>
      <c r="F27" s="141">
        <f t="shared" ca="1" si="1"/>
        <v>41219.64</v>
      </c>
      <c r="G27" s="141">
        <f t="shared" ca="1" si="5"/>
        <v>1783.8400000000038</v>
      </c>
      <c r="H27" s="512">
        <f t="shared" ca="1" si="6"/>
        <v>4.5234025935824906</v>
      </c>
      <c r="I27" s="141">
        <f t="shared" ca="1" si="2"/>
        <v>41219.64</v>
      </c>
      <c r="J27" s="141">
        <f t="shared" ca="1" si="3"/>
        <v>43470.31</v>
      </c>
      <c r="K27" s="141">
        <f t="shared" ca="1" si="7"/>
        <v>2250.6699999999983</v>
      </c>
      <c r="L27" s="512">
        <f t="shared" ca="1" si="8"/>
        <v>5.460188395628875</v>
      </c>
      <c r="M27" s="237" t="s">
        <v>217</v>
      </c>
      <c r="N27" s="102" t="s">
        <v>402</v>
      </c>
      <c r="O27" s="100" t="s">
        <v>279</v>
      </c>
      <c r="P27" s="100" t="s">
        <v>5</v>
      </c>
      <c r="Q27" s="100" t="s">
        <v>195</v>
      </c>
      <c r="R27" s="148" t="s">
        <v>368</v>
      </c>
      <c r="S27" s="100">
        <f>SUMIFS('Normalized Units'!I:I,'Normalized Units'!B:B,"Normalized Billing Units",'Normalized Units'!C:C,O27,'Normalized Units'!D:D,P27,'Normalized Units'!G:G,Q27,'Normalized Units'!H:H,R27)</f>
        <v>108</v>
      </c>
      <c r="U27" s="657"/>
      <c r="X27" s="143"/>
      <c r="Y27" s="143"/>
      <c r="Z27" s="242"/>
      <c r="AB27" s="655"/>
      <c r="AC27" s="656"/>
      <c r="AD27" s="455"/>
      <c r="AE27" s="455"/>
    </row>
    <row r="28" spans="1:31" s="159" customFormat="1">
      <c r="A28" s="337" t="s">
        <v>204</v>
      </c>
      <c r="B28" s="337">
        <v>1000</v>
      </c>
      <c r="C28" s="337">
        <v>700</v>
      </c>
      <c r="D28" s="142">
        <f t="shared" si="4"/>
        <v>700000</v>
      </c>
      <c r="E28" s="337">
        <f t="shared" si="0"/>
        <v>51943.8</v>
      </c>
      <c r="F28" s="142">
        <f t="shared" ca="1" si="1"/>
        <v>54299.64</v>
      </c>
      <c r="G28" s="142">
        <f t="shared" ca="1" si="5"/>
        <v>2355.8399999999965</v>
      </c>
      <c r="H28" s="513">
        <f t="shared" ca="1" si="6"/>
        <v>4.5353632194795077</v>
      </c>
      <c r="I28" s="141">
        <f t="shared" ca="1" si="2"/>
        <v>54299.64</v>
      </c>
      <c r="J28" s="142">
        <f t="shared" ca="1" si="3"/>
        <v>57114.31</v>
      </c>
      <c r="K28" s="142">
        <f t="shared" ca="1" si="7"/>
        <v>2814.6699999999983</v>
      </c>
      <c r="L28" s="513">
        <f t="shared" ca="1" si="8"/>
        <v>5.1835886941423519</v>
      </c>
      <c r="M28" s="237" t="s">
        <v>217</v>
      </c>
      <c r="N28" s="102" t="s">
        <v>402</v>
      </c>
      <c r="O28" s="100" t="s">
        <v>279</v>
      </c>
      <c r="P28" s="100" t="s">
        <v>7</v>
      </c>
      <c r="Q28" s="100" t="s">
        <v>203</v>
      </c>
      <c r="R28" s="100" t="s">
        <v>335</v>
      </c>
      <c r="S28" s="100">
        <f>SUMIFS('Normalized Units'!I:I,'Normalized Units'!B:B,"Normalized Billing Units",'Normalized Units'!C:C,O28,'Normalized Units'!D:D,P28,'Normalized Units'!G:G,Q28,'Normalized Units'!H:H,R28)</f>
        <v>46.766666666666666</v>
      </c>
      <c r="U28" s="657"/>
      <c r="X28" s="143"/>
      <c r="Y28" s="143"/>
      <c r="Z28" s="242"/>
      <c r="AB28" s="655"/>
      <c r="AC28" s="656"/>
      <c r="AD28" s="455"/>
      <c r="AE28" s="455"/>
    </row>
    <row r="29" spans="1:31" s="159" customFormat="1">
      <c r="A29" s="431" t="s">
        <v>510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644"/>
      <c r="M29" s="237" t="s">
        <v>217</v>
      </c>
      <c r="N29" s="102" t="s">
        <v>402</v>
      </c>
      <c r="O29" s="100" t="s">
        <v>279</v>
      </c>
      <c r="P29" s="100" t="s">
        <v>7</v>
      </c>
      <c r="Q29" s="100" t="s">
        <v>284</v>
      </c>
      <c r="R29" s="100" t="s">
        <v>335</v>
      </c>
      <c r="S29" s="100">
        <f>SUMIFS('Normalized Units'!I:I,'Normalized Units'!B:B,"Normalized Billing Units",'Normalized Units'!C:C,O29,'Normalized Units'!D:D,P29,'Normalized Units'!G:G,Q29,'Normalized Units'!H:H,R29)</f>
        <v>650.6</v>
      </c>
      <c r="U29" s="657"/>
      <c r="X29" s="143"/>
      <c r="Y29" s="143"/>
      <c r="Z29" s="242"/>
      <c r="AB29" s="655"/>
      <c r="AC29" s="656"/>
      <c r="AD29" s="455"/>
      <c r="AE29" s="455"/>
    </row>
    <row r="30" spans="1:31" s="159" customFormat="1">
      <c r="M30" s="237" t="s">
        <v>217</v>
      </c>
      <c r="N30" s="102" t="s">
        <v>402</v>
      </c>
      <c r="O30" s="100" t="s">
        <v>279</v>
      </c>
      <c r="P30" s="100" t="s">
        <v>7</v>
      </c>
      <c r="Q30" s="100" t="s">
        <v>204</v>
      </c>
      <c r="R30" s="100" t="s">
        <v>335</v>
      </c>
      <c r="S30" s="100">
        <f>SUMIFS('Normalized Units'!I:I,'Normalized Units'!B:B,"Normalized Billing Units",'Normalized Units'!C:C,O30,'Normalized Units'!D:D,P30,'Normalized Units'!G:G,Q30,'Normalized Units'!H:H,R30)</f>
        <v>451</v>
      </c>
      <c r="Z30" s="242"/>
      <c r="AB30" s="655"/>
      <c r="AC30" s="656"/>
      <c r="AD30" s="455"/>
      <c r="AE30" s="455"/>
    </row>
    <row r="31" spans="1:31" s="159" customFormat="1">
      <c r="M31" s="237" t="s">
        <v>217</v>
      </c>
      <c r="N31" s="102" t="s">
        <v>402</v>
      </c>
      <c r="O31" s="100" t="s">
        <v>279</v>
      </c>
      <c r="P31" s="100" t="s">
        <v>7</v>
      </c>
      <c r="Q31" s="100" t="s">
        <v>284</v>
      </c>
      <c r="R31" s="100" t="s">
        <v>281</v>
      </c>
      <c r="S31" s="100">
        <f>SUMIFS('Normalized Units'!I:I,'Normalized Units'!B:B,"Normalized Billing Units",'Normalized Units'!C:C,O31,'Normalized Units'!D:D,P31,'Normalized Units'!G:G,Q31,'Normalized Units'!H:H,R31)</f>
        <v>117720.66666666666</v>
      </c>
      <c r="Z31" s="242"/>
      <c r="AB31" s="655"/>
      <c r="AC31" s="656"/>
      <c r="AD31" s="455"/>
      <c r="AE31" s="455"/>
    </row>
    <row r="32" spans="1:31" s="159" customFormat="1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237" t="s">
        <v>217</v>
      </c>
      <c r="N32" s="102" t="s">
        <v>402</v>
      </c>
      <c r="O32" s="100" t="s">
        <v>279</v>
      </c>
      <c r="P32" s="100" t="s">
        <v>7</v>
      </c>
      <c r="Q32" s="100" t="s">
        <v>204</v>
      </c>
      <c r="R32" s="100" t="s">
        <v>281</v>
      </c>
      <c r="S32" s="100">
        <f>SUMIFS('Normalized Units'!I:I,'Normalized Units'!B:B,"Normalized Billing Units",'Normalized Units'!C:C,O32,'Normalized Units'!D:D,P32,'Normalized Units'!G:G,Q32,'Normalized Units'!H:H,R32)</f>
        <v>250954</v>
      </c>
      <c r="U32" s="658"/>
      <c r="V32" s="377"/>
      <c r="W32" s="377"/>
      <c r="X32" s="377"/>
      <c r="Y32" s="377"/>
      <c r="Z32" s="242"/>
      <c r="AB32" s="655"/>
      <c r="AC32" s="656"/>
      <c r="AD32" s="455"/>
      <c r="AE32" s="455"/>
    </row>
    <row r="33" spans="1:31" s="159" customForma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237" t="s">
        <v>217</v>
      </c>
      <c r="N33" s="102" t="s">
        <v>402</v>
      </c>
      <c r="O33" s="100" t="s">
        <v>279</v>
      </c>
      <c r="P33" s="100" t="s">
        <v>7</v>
      </c>
      <c r="Q33" s="100" t="s">
        <v>195</v>
      </c>
      <c r="R33" s="100" t="s">
        <v>202</v>
      </c>
      <c r="S33" s="100">
        <f>SUMIFS('Normalized Units'!I:I,'Normalized Units'!B:B,"Normalized Billing Units",'Normalized Units'!C:C,O33,'Normalized Units'!D:D,P33,'Normalized Units'!G:G,Q33,'Normalized Units'!H:H,R33)</f>
        <v>286376.76666666666</v>
      </c>
      <c r="W33" s="143"/>
      <c r="X33" s="653"/>
      <c r="Y33" s="653"/>
      <c r="Z33" s="242"/>
      <c r="AB33" s="655"/>
      <c r="AC33" s="656"/>
      <c r="AD33" s="455"/>
      <c r="AE33" s="455"/>
    </row>
    <row r="34" spans="1:31" s="159" customFormat="1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237" t="s">
        <v>217</v>
      </c>
      <c r="N34" s="102" t="s">
        <v>402</v>
      </c>
      <c r="O34" s="100" t="s">
        <v>279</v>
      </c>
      <c r="P34" s="100" t="s">
        <v>7</v>
      </c>
      <c r="Q34" s="100" t="s">
        <v>195</v>
      </c>
      <c r="R34" s="100" t="s">
        <v>197</v>
      </c>
      <c r="S34" s="100">
        <f>SUMIFS('Normalized Units'!I:I,'Normalized Units'!B:B,"Normalized Billing Units",'Normalized Units'!C:C,O34,'Normalized Units'!D:D,P34,'Normalized Units'!G:G,Q34,'Normalized Units'!H:H,R34)</f>
        <v>34727548.527718931</v>
      </c>
      <c r="U34" s="657"/>
      <c r="X34" s="278"/>
      <c r="Y34" s="278"/>
      <c r="Z34" s="242"/>
      <c r="AB34" s="655"/>
      <c r="AC34" s="656"/>
      <c r="AD34" s="455"/>
      <c r="AE34" s="455"/>
    </row>
    <row r="35" spans="1:31" s="159" customFormat="1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237" t="s">
        <v>217</v>
      </c>
      <c r="N35" s="102" t="s">
        <v>402</v>
      </c>
      <c r="O35" s="100" t="s">
        <v>279</v>
      </c>
      <c r="P35" s="100" t="s">
        <v>7</v>
      </c>
      <c r="Q35" s="100" t="s">
        <v>195</v>
      </c>
      <c r="R35" s="100" t="s">
        <v>198</v>
      </c>
      <c r="S35" s="100">
        <f>SUMIFS('Normalized Units'!I:I,'Normalized Units'!B:B,"Normalized Billing Units",'Normalized Units'!C:C,O35,'Normalized Units'!D:D,P35,'Normalized Units'!G:G,Q35,'Normalized Units'!H:H,R35)</f>
        <v>52700866.28859859</v>
      </c>
      <c r="U35" s="657"/>
      <c r="X35" s="278"/>
      <c r="Y35" s="278"/>
      <c r="Z35" s="242"/>
      <c r="AB35" s="655"/>
      <c r="AC35" s="656"/>
      <c r="AD35" s="455"/>
      <c r="AE35" s="455"/>
    </row>
    <row r="36" spans="1:31" s="159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237" t="s">
        <v>217</v>
      </c>
      <c r="N36" s="102" t="s">
        <v>402</v>
      </c>
      <c r="O36" s="100" t="s">
        <v>279</v>
      </c>
      <c r="P36" s="100" t="s">
        <v>7</v>
      </c>
      <c r="Q36" s="100" t="s">
        <v>195</v>
      </c>
      <c r="R36" s="100" t="s">
        <v>201</v>
      </c>
      <c r="S36" s="100">
        <f>SUMIFS('Normalized Units'!I:I,'Normalized Units'!B:B,"Normalized Billing Units",'Normalized Units'!C:C,O36,'Normalized Units'!D:D,P36,'Normalized Units'!G:G,Q36,'Normalized Units'!H:H,R36)</f>
        <v>81408.741379310348</v>
      </c>
      <c r="U36" s="657"/>
      <c r="X36" s="278"/>
      <c r="Y36" s="278"/>
      <c r="Z36" s="242"/>
      <c r="AB36" s="655"/>
      <c r="AC36" s="656"/>
      <c r="AD36" s="455"/>
      <c r="AE36" s="455"/>
    </row>
    <row r="37" spans="1:31" s="159" customFormat="1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237" t="s">
        <v>217</v>
      </c>
      <c r="N37" s="102" t="s">
        <v>402</v>
      </c>
      <c r="O37" s="100" t="s">
        <v>279</v>
      </c>
      <c r="P37" s="100" t="s">
        <v>7</v>
      </c>
      <c r="Q37" s="100" t="s">
        <v>195</v>
      </c>
      <c r="R37" s="148" t="s">
        <v>367</v>
      </c>
      <c r="S37" s="100">
        <f>SUMIFS('Normalized Units'!I:I,'Normalized Units'!B:B,"Normalized Billing Units",'Normalized Units'!C:C,O37,'Normalized Units'!D:D,P37,'Normalized Units'!G:G,Q37,'Normalized Units'!H:H,R37)</f>
        <v>18439</v>
      </c>
      <c r="Z37" s="242"/>
      <c r="AB37" s="655"/>
      <c r="AC37" s="656"/>
      <c r="AD37" s="455"/>
      <c r="AE37" s="455"/>
    </row>
    <row r="38" spans="1:31" s="159" customFormat="1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237" t="s">
        <v>217</v>
      </c>
      <c r="N38" s="102" t="s">
        <v>402</v>
      </c>
      <c r="O38" s="100" t="s">
        <v>279</v>
      </c>
      <c r="P38" s="100" t="s">
        <v>7</v>
      </c>
      <c r="Q38" s="100" t="s">
        <v>195</v>
      </c>
      <c r="R38" s="148" t="s">
        <v>358</v>
      </c>
      <c r="S38" s="100">
        <f>SUMIFS('Normalized Units'!I:I,'Normalized Units'!B:B,"Normalized Billing Units",'Normalized Units'!C:C,O38,'Normalized Units'!D:D,P38,'Normalized Units'!G:G,Q38,'Normalized Units'!H:H,R38)</f>
        <v>855</v>
      </c>
      <c r="Z38" s="242"/>
      <c r="AB38" s="655"/>
      <c r="AC38" s="656"/>
      <c r="AD38" s="455"/>
      <c r="AE38" s="455"/>
    </row>
    <row r="39" spans="1:31" s="159" customFormat="1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263" t="s">
        <v>217</v>
      </c>
      <c r="N39" s="150" t="s">
        <v>402</v>
      </c>
      <c r="O39" s="152" t="s">
        <v>279</v>
      </c>
      <c r="P39" s="152" t="s">
        <v>7</v>
      </c>
      <c r="Q39" s="152" t="s">
        <v>195</v>
      </c>
      <c r="R39" s="151" t="s">
        <v>368</v>
      </c>
      <c r="S39" s="152">
        <f>SUMIFS('Normalized Units'!I:I,'Normalized Units'!B:B,"Normalized Billing Units",'Normalized Units'!C:C,O39,'Normalized Units'!D:D,P39,'Normalized Units'!G:G,Q39,'Normalized Units'!H:H,R39)</f>
        <v>10</v>
      </c>
      <c r="Z39" s="242"/>
      <c r="AB39" s="655"/>
      <c r="AC39" s="656"/>
      <c r="AD39" s="455"/>
      <c r="AE39" s="455"/>
    </row>
    <row r="40" spans="1:31" s="140" customForma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145" t="s">
        <v>406</v>
      </c>
      <c r="N40" s="145" t="s">
        <v>403</v>
      </c>
      <c r="O40" s="145" t="s">
        <v>351</v>
      </c>
      <c r="P40" s="144" t="s">
        <v>195</v>
      </c>
      <c r="Q40" s="144" t="s">
        <v>203</v>
      </c>
      <c r="R40" s="145" t="s">
        <v>335</v>
      </c>
      <c r="S40" s="323">
        <v>248</v>
      </c>
      <c r="U40" s="143"/>
      <c r="V40" s="143"/>
      <c r="W40" s="143"/>
      <c r="X40" s="143"/>
      <c r="Y40" s="143"/>
      <c r="Z40" s="243"/>
      <c r="AB40" s="655"/>
      <c r="AC40" s="656"/>
      <c r="AD40" s="455"/>
      <c r="AE40" s="455"/>
    </row>
    <row r="41" spans="1:31" s="140" customForma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102" t="s">
        <v>406</v>
      </c>
      <c r="N41" s="102" t="s">
        <v>403</v>
      </c>
      <c r="O41" s="102" t="s">
        <v>351</v>
      </c>
      <c r="P41" s="100" t="s">
        <v>195</v>
      </c>
      <c r="Q41" s="100" t="s">
        <v>284</v>
      </c>
      <c r="R41" s="102" t="s">
        <v>335</v>
      </c>
      <c r="S41" s="324">
        <v>93</v>
      </c>
      <c r="Z41" s="243"/>
      <c r="AB41" s="655"/>
      <c r="AC41" s="656"/>
      <c r="AD41" s="455"/>
      <c r="AE41" s="455"/>
    </row>
    <row r="42" spans="1:31" s="140" customForma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102" t="s">
        <v>406</v>
      </c>
      <c r="N42" s="102" t="s">
        <v>403</v>
      </c>
      <c r="O42" s="102" t="s">
        <v>351</v>
      </c>
      <c r="P42" s="100" t="s">
        <v>195</v>
      </c>
      <c r="Q42" s="100" t="s">
        <v>204</v>
      </c>
      <c r="R42" s="102" t="s">
        <v>335</v>
      </c>
      <c r="S42" s="324">
        <v>185</v>
      </c>
      <c r="Z42" s="243"/>
      <c r="AB42" s="655"/>
      <c r="AC42" s="656"/>
      <c r="AD42" s="455"/>
      <c r="AE42" s="455"/>
    </row>
    <row r="43" spans="1:31" s="140" customForma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102" t="s">
        <v>406</v>
      </c>
      <c r="N43" s="102" t="s">
        <v>403</v>
      </c>
      <c r="O43" s="102" t="s">
        <v>351</v>
      </c>
      <c r="P43" s="100" t="s">
        <v>195</v>
      </c>
      <c r="Q43" s="100" t="s">
        <v>284</v>
      </c>
      <c r="R43" s="100" t="s">
        <v>281</v>
      </c>
      <c r="S43" s="324">
        <v>1.8</v>
      </c>
      <c r="Z43" s="243"/>
      <c r="AB43" s="655"/>
      <c r="AC43" s="656"/>
      <c r="AD43" s="455"/>
      <c r="AE43" s="455"/>
    </row>
    <row r="44" spans="1:31" s="140" customForma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102" t="s">
        <v>406</v>
      </c>
      <c r="N44" s="102" t="s">
        <v>403</v>
      </c>
      <c r="O44" s="102" t="s">
        <v>351</v>
      </c>
      <c r="P44" s="100" t="s">
        <v>195</v>
      </c>
      <c r="Q44" s="100" t="s">
        <v>204</v>
      </c>
      <c r="R44" s="100" t="s">
        <v>281</v>
      </c>
      <c r="S44" s="324">
        <v>1.48</v>
      </c>
      <c r="Z44" s="243"/>
      <c r="AB44" s="655"/>
      <c r="AC44" s="656"/>
      <c r="AD44" s="455"/>
      <c r="AE44" s="455"/>
    </row>
    <row r="45" spans="1:31" s="140" customForma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02" t="s">
        <v>406</v>
      </c>
      <c r="N45" s="102" t="s">
        <v>403</v>
      </c>
      <c r="O45" s="102" t="s">
        <v>351</v>
      </c>
      <c r="P45" s="100" t="s">
        <v>195</v>
      </c>
      <c r="Q45" s="100" t="s">
        <v>195</v>
      </c>
      <c r="R45" s="100" t="s">
        <v>202</v>
      </c>
      <c r="S45" s="324">
        <v>6.3</v>
      </c>
      <c r="Z45" s="347"/>
      <c r="AB45" s="655"/>
      <c r="AC45" s="656"/>
      <c r="AD45" s="455"/>
      <c r="AE45" s="455"/>
    </row>
    <row r="46" spans="1:31" s="140" customForma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02" t="s">
        <v>406</v>
      </c>
      <c r="N46" s="102" t="s">
        <v>403</v>
      </c>
      <c r="O46" s="102" t="s">
        <v>351</v>
      </c>
      <c r="P46" s="100" t="s">
        <v>195</v>
      </c>
      <c r="Q46" s="100" t="s">
        <v>195</v>
      </c>
      <c r="R46" s="100" t="s">
        <v>197</v>
      </c>
      <c r="S46" s="324">
        <v>6.7559999999999995E-2</v>
      </c>
      <c r="AB46" s="655"/>
      <c r="AC46" s="656"/>
      <c r="AD46" s="455"/>
      <c r="AE46" s="455"/>
    </row>
    <row r="47" spans="1:31" s="140" customForma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02" t="s">
        <v>406</v>
      </c>
      <c r="N47" s="102" t="s">
        <v>403</v>
      </c>
      <c r="O47" s="102" t="s">
        <v>351</v>
      </c>
      <c r="P47" s="100" t="s">
        <v>195</v>
      </c>
      <c r="Q47" s="100" t="s">
        <v>195</v>
      </c>
      <c r="R47" s="100" t="s">
        <v>198</v>
      </c>
      <c r="S47" s="324">
        <v>6.2539999999999998E-2</v>
      </c>
      <c r="AB47" s="655"/>
      <c r="AC47" s="656"/>
      <c r="AD47" s="455"/>
      <c r="AE47" s="455"/>
    </row>
    <row r="48" spans="1:31" s="140" customForma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02" t="s">
        <v>406</v>
      </c>
      <c r="N48" s="102" t="s">
        <v>403</v>
      </c>
      <c r="O48" s="102" t="s">
        <v>351</v>
      </c>
      <c r="P48" s="100" t="s">
        <v>195</v>
      </c>
      <c r="Q48" s="100" t="s">
        <v>195</v>
      </c>
      <c r="R48" s="100" t="s">
        <v>201</v>
      </c>
      <c r="S48" s="324">
        <v>0.57999999999999996</v>
      </c>
      <c r="AB48" s="655"/>
      <c r="AC48" s="656"/>
      <c r="AD48" s="455"/>
      <c r="AE48" s="455"/>
    </row>
    <row r="49" spans="1:31" s="140" customForma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02" t="s">
        <v>406</v>
      </c>
      <c r="N49" s="102" t="s">
        <v>403</v>
      </c>
      <c r="O49" s="102" t="s">
        <v>351</v>
      </c>
      <c r="P49" s="100" t="s">
        <v>195</v>
      </c>
      <c r="Q49" s="100" t="s">
        <v>195</v>
      </c>
      <c r="R49" s="148" t="s">
        <v>367</v>
      </c>
      <c r="S49" s="324">
        <v>-0.01</v>
      </c>
      <c r="AB49" s="655"/>
      <c r="AC49" s="656"/>
      <c r="AD49" s="455"/>
      <c r="AE49" s="455"/>
    </row>
    <row r="50" spans="1:31" s="140" customForma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02" t="s">
        <v>406</v>
      </c>
      <c r="N50" s="102" t="s">
        <v>403</v>
      </c>
      <c r="O50" s="102" t="s">
        <v>351</v>
      </c>
      <c r="P50" s="100" t="s">
        <v>195</v>
      </c>
      <c r="Q50" s="100" t="s">
        <v>195</v>
      </c>
      <c r="R50" s="148" t="s">
        <v>358</v>
      </c>
      <c r="S50" s="324">
        <v>-0.3</v>
      </c>
      <c r="AB50" s="655"/>
      <c r="AC50" s="656"/>
      <c r="AD50" s="455"/>
      <c r="AE50" s="455"/>
    </row>
    <row r="51" spans="1:31" s="140" customForma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02" t="s">
        <v>406</v>
      </c>
      <c r="N51" s="102" t="s">
        <v>403</v>
      </c>
      <c r="O51" s="102" t="s">
        <v>351</v>
      </c>
      <c r="P51" s="100" t="s">
        <v>195</v>
      </c>
      <c r="Q51" s="100" t="s">
        <v>195</v>
      </c>
      <c r="R51" s="148" t="s">
        <v>368</v>
      </c>
      <c r="S51" s="324">
        <v>60</v>
      </c>
      <c r="Z51" s="243"/>
      <c r="AB51" s="655"/>
      <c r="AC51" s="656"/>
      <c r="AD51" s="455"/>
      <c r="AE51" s="455"/>
    </row>
    <row r="52" spans="1:31" s="140" customForma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02" t="s">
        <v>406</v>
      </c>
      <c r="N52" s="215" t="s">
        <v>403</v>
      </c>
      <c r="O52" s="447" t="s">
        <v>489</v>
      </c>
      <c r="P52" s="215" t="s">
        <v>195</v>
      </c>
      <c r="Q52" s="215" t="s">
        <v>195</v>
      </c>
      <c r="R52" s="215" t="s">
        <v>335</v>
      </c>
      <c r="S52" s="324">
        <v>17</v>
      </c>
      <c r="Z52" s="243"/>
      <c r="AB52" s="655"/>
      <c r="AC52" s="656"/>
      <c r="AD52" s="455"/>
      <c r="AE52" s="455"/>
    </row>
    <row r="53" spans="1:31" s="140" customForma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102" t="s">
        <v>406</v>
      </c>
      <c r="N53" s="215" t="s">
        <v>403</v>
      </c>
      <c r="O53" s="447" t="s">
        <v>489</v>
      </c>
      <c r="P53" s="215" t="s">
        <v>195</v>
      </c>
      <c r="Q53" s="215" t="s">
        <v>195</v>
      </c>
      <c r="R53" s="101" t="s">
        <v>197</v>
      </c>
      <c r="S53" s="324">
        <v>0.20258000000000001</v>
      </c>
      <c r="Z53" s="243"/>
      <c r="AB53" s="655"/>
      <c r="AC53" s="656"/>
      <c r="AD53" s="455"/>
      <c r="AE53" s="455"/>
    </row>
    <row r="54" spans="1:31" s="140" customForma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150" t="s">
        <v>406</v>
      </c>
      <c r="N54" s="216" t="s">
        <v>403</v>
      </c>
      <c r="O54" s="448" t="s">
        <v>489</v>
      </c>
      <c r="P54" s="216" t="s">
        <v>195</v>
      </c>
      <c r="Q54" s="216" t="s">
        <v>195</v>
      </c>
      <c r="R54" s="421" t="s">
        <v>198</v>
      </c>
      <c r="S54" s="325">
        <v>8.7859999999999994E-2</v>
      </c>
      <c r="Z54" s="243"/>
      <c r="AB54" s="655"/>
      <c r="AC54" s="656"/>
      <c r="AD54" s="455"/>
      <c r="AE54" s="455"/>
    </row>
    <row r="55" spans="1:31" s="140" customForma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145" t="s">
        <v>406</v>
      </c>
      <c r="N55" s="264" t="s">
        <v>29</v>
      </c>
      <c r="O55" s="146" t="s">
        <v>279</v>
      </c>
      <c r="P55" s="146" t="s">
        <v>4</v>
      </c>
      <c r="Q55" s="146" t="s">
        <v>203</v>
      </c>
      <c r="R55" s="146" t="s">
        <v>335</v>
      </c>
      <c r="S55" s="220">
        <f t="shared" ref="S55:S62" si="9">S8*S40</f>
        <v>496</v>
      </c>
      <c r="Z55" s="243"/>
      <c r="AB55" s="655"/>
      <c r="AC55" s="656"/>
      <c r="AD55" s="455"/>
      <c r="AE55" s="455"/>
    </row>
    <row r="56" spans="1:31" s="140" customForma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102" t="s">
        <v>406</v>
      </c>
      <c r="N56" s="90" t="s">
        <v>29</v>
      </c>
      <c r="O56" s="148" t="s">
        <v>279</v>
      </c>
      <c r="P56" s="148" t="s">
        <v>4</v>
      </c>
      <c r="Q56" s="148" t="s">
        <v>284</v>
      </c>
      <c r="R56" s="148" t="s">
        <v>335</v>
      </c>
      <c r="S56" s="217">
        <f t="shared" si="9"/>
        <v>3441</v>
      </c>
      <c r="Z56" s="349"/>
      <c r="AB56" s="655"/>
      <c r="AC56" s="656"/>
      <c r="AD56" s="455"/>
      <c r="AE56" s="455"/>
    </row>
    <row r="57" spans="1:31" s="140" customForma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102" t="s">
        <v>406</v>
      </c>
      <c r="N57" s="90" t="s">
        <v>29</v>
      </c>
      <c r="O57" s="148" t="s">
        <v>279</v>
      </c>
      <c r="P57" s="148" t="s">
        <v>4</v>
      </c>
      <c r="Q57" s="148" t="s">
        <v>204</v>
      </c>
      <c r="R57" s="148" t="s">
        <v>335</v>
      </c>
      <c r="S57" s="217">
        <f t="shared" si="9"/>
        <v>1295</v>
      </c>
      <c r="Z57" s="243"/>
      <c r="AB57" s="655"/>
      <c r="AC57" s="656"/>
      <c r="AD57" s="455"/>
      <c r="AE57" s="455"/>
    </row>
    <row r="58" spans="1:31" s="140" customForma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102" t="s">
        <v>406</v>
      </c>
      <c r="N58" s="90" t="s">
        <v>29</v>
      </c>
      <c r="O58" s="148" t="s">
        <v>279</v>
      </c>
      <c r="P58" s="148" t="s">
        <v>4</v>
      </c>
      <c r="Q58" s="148" t="s">
        <v>284</v>
      </c>
      <c r="R58" s="148" t="s">
        <v>281</v>
      </c>
      <c r="S58" s="217">
        <f t="shared" si="9"/>
        <v>9491.4</v>
      </c>
      <c r="X58" s="352"/>
      <c r="Z58" s="243"/>
      <c r="AB58" s="655"/>
      <c r="AC58" s="656"/>
      <c r="AD58" s="455"/>
      <c r="AE58" s="455"/>
    </row>
    <row r="59" spans="1:31" s="140" customForma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102" t="s">
        <v>406</v>
      </c>
      <c r="N59" s="90" t="s">
        <v>29</v>
      </c>
      <c r="O59" s="148" t="s">
        <v>279</v>
      </c>
      <c r="P59" s="148" t="s">
        <v>4</v>
      </c>
      <c r="Q59" s="148" t="s">
        <v>204</v>
      </c>
      <c r="R59" s="148" t="s">
        <v>281</v>
      </c>
      <c r="S59" s="217">
        <f t="shared" si="9"/>
        <v>3207.16</v>
      </c>
      <c r="Z59" s="243"/>
      <c r="AB59" s="655"/>
      <c r="AC59" s="656"/>
      <c r="AD59" s="455"/>
      <c r="AE59" s="455"/>
    </row>
    <row r="60" spans="1:31" s="140" customForma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102" t="s">
        <v>406</v>
      </c>
      <c r="N60" s="90" t="s">
        <v>29</v>
      </c>
      <c r="O60" s="148" t="s">
        <v>279</v>
      </c>
      <c r="P60" s="148" t="s">
        <v>4</v>
      </c>
      <c r="Q60" s="148" t="s">
        <v>195</v>
      </c>
      <c r="R60" s="148" t="s">
        <v>202</v>
      </c>
      <c r="S60" s="217">
        <f t="shared" si="9"/>
        <v>36999.9</v>
      </c>
      <c r="Z60" s="243"/>
      <c r="AB60" s="655"/>
      <c r="AC60" s="656"/>
      <c r="AD60" s="455"/>
      <c r="AE60" s="455"/>
    </row>
    <row r="61" spans="1:31" s="140" customForma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102" t="s">
        <v>406</v>
      </c>
      <c r="N61" s="90" t="s">
        <v>29</v>
      </c>
      <c r="O61" s="148" t="s">
        <v>279</v>
      </c>
      <c r="P61" s="148" t="s">
        <v>4</v>
      </c>
      <c r="Q61" s="148" t="s">
        <v>195</v>
      </c>
      <c r="R61" s="148" t="s">
        <v>197</v>
      </c>
      <c r="S61" s="217">
        <f t="shared" si="9"/>
        <v>99956.301408930187</v>
      </c>
      <c r="Z61" s="243"/>
      <c r="AB61" s="655"/>
      <c r="AC61" s="656"/>
      <c r="AD61" s="455"/>
      <c r="AE61" s="455"/>
    </row>
    <row r="62" spans="1:31" s="140" customForma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102" t="s">
        <v>406</v>
      </c>
      <c r="N62" s="90" t="s">
        <v>29</v>
      </c>
      <c r="O62" s="148" t="s">
        <v>279</v>
      </c>
      <c r="P62" s="148" t="s">
        <v>4</v>
      </c>
      <c r="Q62" s="148" t="s">
        <v>195</v>
      </c>
      <c r="R62" s="148" t="s">
        <v>198</v>
      </c>
      <c r="S62" s="217">
        <f t="shared" si="9"/>
        <v>50756.250601496933</v>
      </c>
      <c r="Z62" s="243"/>
      <c r="AB62" s="655"/>
      <c r="AC62" s="656"/>
      <c r="AD62" s="455"/>
      <c r="AE62" s="455"/>
    </row>
    <row r="63" spans="1:31" s="140" customForma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102" t="s">
        <v>406</v>
      </c>
      <c r="N63" s="90" t="s">
        <v>29</v>
      </c>
      <c r="O63" s="100" t="s">
        <v>279</v>
      </c>
      <c r="P63" s="100" t="s">
        <v>4</v>
      </c>
      <c r="Q63" s="100" t="s">
        <v>195</v>
      </c>
      <c r="R63" s="215" t="s">
        <v>168</v>
      </c>
      <c r="S63" s="217">
        <f>Unbilled!E8</f>
        <v>6831.3392740641229</v>
      </c>
      <c r="Z63" s="243"/>
      <c r="AB63" s="655"/>
      <c r="AC63" s="656"/>
      <c r="AD63" s="455"/>
      <c r="AE63" s="455"/>
    </row>
    <row r="64" spans="1:31" s="140" customForma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102" t="s">
        <v>406</v>
      </c>
      <c r="N64" s="90" t="s">
        <v>29</v>
      </c>
      <c r="O64" s="148" t="s">
        <v>279</v>
      </c>
      <c r="P64" s="148" t="s">
        <v>5</v>
      </c>
      <c r="Q64" s="148" t="s">
        <v>203</v>
      </c>
      <c r="R64" s="148" t="s">
        <v>335</v>
      </c>
      <c r="S64" s="217">
        <f t="shared" ref="S64:S75" si="10">S16*S40</f>
        <v>57408.647141765643</v>
      </c>
      <c r="Z64" s="243"/>
      <c r="AB64" s="655"/>
      <c r="AC64" s="656"/>
      <c r="AD64" s="455"/>
      <c r="AE64" s="455"/>
    </row>
    <row r="65" spans="1:31" s="140" customForma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102" t="s">
        <v>406</v>
      </c>
      <c r="N65" s="90" t="s">
        <v>29</v>
      </c>
      <c r="O65" s="148" t="s">
        <v>279</v>
      </c>
      <c r="P65" s="148" t="s">
        <v>5</v>
      </c>
      <c r="Q65" s="148" t="s">
        <v>284</v>
      </c>
      <c r="R65" s="148" t="s">
        <v>335</v>
      </c>
      <c r="S65" s="217">
        <f t="shared" si="10"/>
        <v>744325.16023792652</v>
      </c>
      <c r="Z65" s="243"/>
      <c r="AB65" s="655"/>
      <c r="AC65" s="656"/>
      <c r="AD65" s="455"/>
      <c r="AE65" s="455"/>
    </row>
    <row r="66" spans="1:31" s="140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102" t="s">
        <v>406</v>
      </c>
      <c r="N66" s="90" t="s">
        <v>29</v>
      </c>
      <c r="O66" s="148" t="s">
        <v>279</v>
      </c>
      <c r="P66" s="148" t="s">
        <v>5</v>
      </c>
      <c r="Q66" s="148" t="s">
        <v>204</v>
      </c>
      <c r="R66" s="148" t="s">
        <v>335</v>
      </c>
      <c r="S66" s="217">
        <f t="shared" si="10"/>
        <v>632234.51032821066</v>
      </c>
      <c r="Z66" s="243"/>
      <c r="AB66" s="655"/>
      <c r="AC66" s="656"/>
      <c r="AD66" s="455"/>
      <c r="AE66" s="455"/>
    </row>
    <row r="67" spans="1:31" s="140" customForma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102" t="s">
        <v>406</v>
      </c>
      <c r="N67" s="90" t="s">
        <v>29</v>
      </c>
      <c r="O67" s="148" t="s">
        <v>279</v>
      </c>
      <c r="P67" s="148" t="s">
        <v>5</v>
      </c>
      <c r="Q67" s="148" t="s">
        <v>284</v>
      </c>
      <c r="R67" s="148" t="s">
        <v>281</v>
      </c>
      <c r="S67" s="217">
        <f t="shared" si="10"/>
        <v>2500927.8600000003</v>
      </c>
      <c r="Z67" s="243"/>
      <c r="AB67" s="655"/>
      <c r="AC67" s="656"/>
      <c r="AD67" s="455"/>
      <c r="AE67" s="455"/>
    </row>
    <row r="68" spans="1:31" s="140" customForma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102" t="s">
        <v>406</v>
      </c>
      <c r="N68" s="90" t="s">
        <v>29</v>
      </c>
      <c r="O68" s="148" t="s">
        <v>279</v>
      </c>
      <c r="P68" s="148" t="s">
        <v>5</v>
      </c>
      <c r="Q68" s="148" t="s">
        <v>204</v>
      </c>
      <c r="R68" s="148" t="s">
        <v>281</v>
      </c>
      <c r="S68" s="217">
        <f t="shared" si="10"/>
        <v>2500590.4366666665</v>
      </c>
      <c r="Z68" s="243"/>
      <c r="AB68" s="655"/>
      <c r="AC68" s="656"/>
      <c r="AD68" s="455"/>
      <c r="AE68" s="455"/>
    </row>
    <row r="69" spans="1:31" s="140" customForma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102" t="s">
        <v>406</v>
      </c>
      <c r="N69" s="90" t="s">
        <v>29</v>
      </c>
      <c r="O69" s="148" t="s">
        <v>279</v>
      </c>
      <c r="P69" s="148" t="s">
        <v>5</v>
      </c>
      <c r="Q69" s="148" t="s">
        <v>195</v>
      </c>
      <c r="R69" s="148" t="s">
        <v>202</v>
      </c>
      <c r="S69" s="217">
        <f t="shared" si="10"/>
        <v>14287722.75</v>
      </c>
      <c r="Z69" s="243"/>
      <c r="AB69" s="655"/>
      <c r="AC69" s="656"/>
      <c r="AD69" s="455"/>
      <c r="AE69" s="455"/>
    </row>
    <row r="70" spans="1:31" s="140" customForma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102" t="s">
        <v>406</v>
      </c>
      <c r="N70" s="90" t="s">
        <v>29</v>
      </c>
      <c r="O70" s="148" t="s">
        <v>279</v>
      </c>
      <c r="P70" s="148" t="s">
        <v>5</v>
      </c>
      <c r="Q70" s="148" t="s">
        <v>195</v>
      </c>
      <c r="R70" s="148" t="s">
        <v>197</v>
      </c>
      <c r="S70" s="217">
        <f t="shared" si="10"/>
        <v>25038906.676754612</v>
      </c>
      <c r="Z70" s="243"/>
      <c r="AB70" s="655"/>
      <c r="AC70" s="656"/>
      <c r="AD70" s="455"/>
      <c r="AE70" s="455"/>
    </row>
    <row r="71" spans="1:31" s="140" customForma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102" t="s">
        <v>406</v>
      </c>
      <c r="N71" s="90" t="s">
        <v>29</v>
      </c>
      <c r="O71" s="148" t="s">
        <v>279</v>
      </c>
      <c r="P71" s="148" t="s">
        <v>5</v>
      </c>
      <c r="Q71" s="148" t="s">
        <v>195</v>
      </c>
      <c r="R71" s="148" t="s">
        <v>198</v>
      </c>
      <c r="S71" s="217">
        <f t="shared" si="10"/>
        <v>29147541.753332101</v>
      </c>
      <c r="Z71" s="243"/>
      <c r="AB71" s="655"/>
      <c r="AC71" s="656"/>
      <c r="AD71" s="455"/>
      <c r="AE71" s="455"/>
    </row>
    <row r="72" spans="1:31" s="140" customForma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102" t="s">
        <v>406</v>
      </c>
      <c r="N72" s="90" t="s">
        <v>29</v>
      </c>
      <c r="O72" s="148" t="s">
        <v>279</v>
      </c>
      <c r="P72" s="148" t="s">
        <v>5</v>
      </c>
      <c r="Q72" s="148" t="s">
        <v>195</v>
      </c>
      <c r="R72" s="148" t="s">
        <v>201</v>
      </c>
      <c r="S72" s="217">
        <f t="shared" si="10"/>
        <v>187089.88</v>
      </c>
      <c r="Z72" s="243"/>
      <c r="AB72" s="655"/>
      <c r="AC72" s="656"/>
      <c r="AD72" s="455"/>
      <c r="AE72" s="455"/>
    </row>
    <row r="73" spans="1:31" s="140" customForma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102" t="s">
        <v>406</v>
      </c>
      <c r="N73" s="90" t="s">
        <v>29</v>
      </c>
      <c r="O73" s="148" t="s">
        <v>279</v>
      </c>
      <c r="P73" s="148" t="s">
        <v>5</v>
      </c>
      <c r="Q73" s="148" t="s">
        <v>195</v>
      </c>
      <c r="R73" s="148" t="s">
        <v>367</v>
      </c>
      <c r="S73" s="217">
        <f t="shared" si="10"/>
        <v>-9070.42</v>
      </c>
      <c r="Z73" s="243"/>
      <c r="AB73" s="655"/>
      <c r="AC73" s="656"/>
      <c r="AD73" s="455"/>
      <c r="AE73" s="455"/>
    </row>
    <row r="74" spans="1:31" s="140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102" t="s">
        <v>406</v>
      </c>
      <c r="N74" s="90" t="s">
        <v>29</v>
      </c>
      <c r="O74" s="148" t="s">
        <v>279</v>
      </c>
      <c r="P74" s="148" t="s">
        <v>5</v>
      </c>
      <c r="Q74" s="148" t="s">
        <v>195</v>
      </c>
      <c r="R74" s="148" t="s">
        <v>358</v>
      </c>
      <c r="S74" s="217">
        <f t="shared" si="10"/>
        <v>-13342.199999999999</v>
      </c>
      <c r="Z74" s="243"/>
      <c r="AB74" s="655"/>
      <c r="AC74" s="656"/>
      <c r="AD74" s="455"/>
      <c r="AE74" s="455"/>
    </row>
    <row r="75" spans="1:31" s="140" customForma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102" t="s">
        <v>406</v>
      </c>
      <c r="N75" s="90" t="s">
        <v>29</v>
      </c>
      <c r="O75" s="148" t="s">
        <v>279</v>
      </c>
      <c r="P75" s="148" t="s">
        <v>5</v>
      </c>
      <c r="Q75" s="148" t="s">
        <v>195</v>
      </c>
      <c r="R75" s="148" t="s">
        <v>368</v>
      </c>
      <c r="S75" s="217">
        <f t="shared" si="10"/>
        <v>6480</v>
      </c>
      <c r="Z75" s="243"/>
      <c r="AB75" s="655"/>
      <c r="AC75" s="656"/>
      <c r="AD75" s="455"/>
      <c r="AE75" s="455"/>
    </row>
    <row r="76" spans="1:31" s="140" customForma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102" t="s">
        <v>406</v>
      </c>
      <c r="N76" s="90" t="s">
        <v>29</v>
      </c>
      <c r="O76" s="100" t="s">
        <v>279</v>
      </c>
      <c r="P76" s="100" t="s">
        <v>5</v>
      </c>
      <c r="Q76" s="100" t="s">
        <v>195</v>
      </c>
      <c r="R76" s="215" t="s">
        <v>168</v>
      </c>
      <c r="S76" s="217">
        <f>Unbilled!E9</f>
        <v>1072849.6731901476</v>
      </c>
      <c r="Z76" s="243"/>
      <c r="AB76" s="655"/>
      <c r="AC76" s="656"/>
      <c r="AD76" s="455"/>
      <c r="AE76" s="455"/>
    </row>
    <row r="77" spans="1:31" s="140" customForma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102" t="s">
        <v>406</v>
      </c>
      <c r="N77" s="90" t="s">
        <v>29</v>
      </c>
      <c r="O77" s="148" t="s">
        <v>279</v>
      </c>
      <c r="P77" s="148" t="s">
        <v>7</v>
      </c>
      <c r="Q77" s="148" t="s">
        <v>203</v>
      </c>
      <c r="R77" s="148" t="s">
        <v>335</v>
      </c>
      <c r="S77" s="217">
        <f t="shared" ref="S77:S88" si="11">S28*S40</f>
        <v>11598.133333333333</v>
      </c>
      <c r="Z77" s="243"/>
      <c r="AB77" s="655"/>
      <c r="AC77" s="656"/>
      <c r="AD77" s="455"/>
      <c r="AE77" s="455"/>
    </row>
    <row r="78" spans="1:31" s="140" customForma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02" t="s">
        <v>406</v>
      </c>
      <c r="N78" s="90" t="s">
        <v>29</v>
      </c>
      <c r="O78" s="148" t="s">
        <v>279</v>
      </c>
      <c r="P78" s="148" t="s">
        <v>7</v>
      </c>
      <c r="Q78" s="148" t="s">
        <v>284</v>
      </c>
      <c r="R78" s="148" t="s">
        <v>335</v>
      </c>
      <c r="S78" s="217">
        <f t="shared" si="11"/>
        <v>60505.8</v>
      </c>
      <c r="Z78" s="243"/>
      <c r="AB78" s="655"/>
      <c r="AC78" s="656"/>
      <c r="AD78" s="455"/>
      <c r="AE78" s="455"/>
    </row>
    <row r="79" spans="1:31" s="140" customForma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102" t="s">
        <v>406</v>
      </c>
      <c r="N79" s="90" t="s">
        <v>29</v>
      </c>
      <c r="O79" s="148" t="s">
        <v>279</v>
      </c>
      <c r="P79" s="148" t="s">
        <v>7</v>
      </c>
      <c r="Q79" s="148" t="s">
        <v>204</v>
      </c>
      <c r="R79" s="148" t="s">
        <v>335</v>
      </c>
      <c r="S79" s="217">
        <f t="shared" si="11"/>
        <v>83435</v>
      </c>
      <c r="U79" s="143"/>
      <c r="V79" s="143"/>
      <c r="W79" s="143"/>
      <c r="X79" s="143"/>
      <c r="Y79" s="143"/>
      <c r="Z79" s="243"/>
      <c r="AB79" s="655"/>
      <c r="AC79" s="656"/>
      <c r="AD79" s="455"/>
      <c r="AE79" s="455"/>
    </row>
    <row r="80" spans="1:31" s="140" customForma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102" t="s">
        <v>406</v>
      </c>
      <c r="N80" s="90" t="s">
        <v>29</v>
      </c>
      <c r="O80" s="148" t="s">
        <v>279</v>
      </c>
      <c r="P80" s="148" t="s">
        <v>7</v>
      </c>
      <c r="Q80" s="148" t="s">
        <v>284</v>
      </c>
      <c r="R80" s="148" t="s">
        <v>281</v>
      </c>
      <c r="S80" s="217">
        <f t="shared" si="11"/>
        <v>211897.19999999998</v>
      </c>
      <c r="U80" s="332"/>
      <c r="V80" s="343"/>
      <c r="W80" s="315"/>
      <c r="X80" s="343"/>
      <c r="Y80" s="343"/>
      <c r="Z80" s="243"/>
      <c r="AB80" s="655"/>
      <c r="AC80" s="656"/>
      <c r="AD80" s="455"/>
      <c r="AE80" s="455"/>
    </row>
    <row r="81" spans="1:31" s="140" customForma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102" t="s">
        <v>406</v>
      </c>
      <c r="N81" s="90" t="s">
        <v>29</v>
      </c>
      <c r="O81" s="148" t="s">
        <v>279</v>
      </c>
      <c r="P81" s="148" t="s">
        <v>7</v>
      </c>
      <c r="Q81" s="148" t="s">
        <v>204</v>
      </c>
      <c r="R81" s="148" t="s">
        <v>281</v>
      </c>
      <c r="S81" s="217">
        <f t="shared" si="11"/>
        <v>371411.92</v>
      </c>
      <c r="U81" s="347"/>
      <c r="V81" s="81"/>
      <c r="W81" s="81"/>
      <c r="X81" s="81"/>
      <c r="Y81" s="81"/>
      <c r="Z81" s="243"/>
      <c r="AB81" s="655"/>
      <c r="AC81" s="656"/>
      <c r="AD81" s="455"/>
      <c r="AE81" s="455"/>
    </row>
    <row r="82" spans="1:31" s="140" customForma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102" t="s">
        <v>406</v>
      </c>
      <c r="N82" s="90" t="s">
        <v>29</v>
      </c>
      <c r="O82" s="148" t="s">
        <v>279</v>
      </c>
      <c r="P82" s="148" t="s">
        <v>7</v>
      </c>
      <c r="Q82" s="148" t="s">
        <v>195</v>
      </c>
      <c r="R82" s="148" t="s">
        <v>202</v>
      </c>
      <c r="S82" s="217">
        <f t="shared" si="11"/>
        <v>1804173.63</v>
      </c>
      <c r="U82" s="333"/>
      <c r="V82" s="143"/>
      <c r="W82" s="143"/>
      <c r="X82" s="143"/>
      <c r="Y82" s="164"/>
      <c r="Z82" s="243"/>
      <c r="AB82" s="655"/>
      <c r="AC82" s="656"/>
      <c r="AD82" s="455"/>
      <c r="AE82" s="455"/>
    </row>
    <row r="83" spans="1:31" s="140" customForma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102" t="s">
        <v>406</v>
      </c>
      <c r="N83" s="90" t="s">
        <v>29</v>
      </c>
      <c r="O83" s="148" t="s">
        <v>279</v>
      </c>
      <c r="P83" s="148" t="s">
        <v>7</v>
      </c>
      <c r="Q83" s="148" t="s">
        <v>195</v>
      </c>
      <c r="R83" s="148" t="s">
        <v>197</v>
      </c>
      <c r="S83" s="217">
        <f t="shared" si="11"/>
        <v>2346193.1785326907</v>
      </c>
      <c r="U83" s="164"/>
      <c r="V83" s="143"/>
      <c r="W83" s="143"/>
      <c r="X83" s="314"/>
      <c r="Y83" s="143"/>
      <c r="Z83" s="243"/>
      <c r="AB83" s="655"/>
      <c r="AC83" s="656"/>
      <c r="AD83" s="455"/>
      <c r="AE83" s="455"/>
    </row>
    <row r="84" spans="1:31" s="140" customForma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102" t="s">
        <v>406</v>
      </c>
      <c r="N84" s="90" t="s">
        <v>29</v>
      </c>
      <c r="O84" s="148" t="s">
        <v>279</v>
      </c>
      <c r="P84" s="148" t="s">
        <v>7</v>
      </c>
      <c r="Q84" s="148" t="s">
        <v>195</v>
      </c>
      <c r="R84" s="148" t="s">
        <v>198</v>
      </c>
      <c r="S84" s="217">
        <f t="shared" si="11"/>
        <v>3295912.1776889558</v>
      </c>
      <c r="U84" s="164"/>
      <c r="V84" s="278"/>
      <c r="W84" s="278"/>
      <c r="X84" s="440"/>
      <c r="Y84" s="278"/>
      <c r="Z84" s="243"/>
      <c r="AB84" s="655"/>
      <c r="AC84" s="656"/>
      <c r="AD84" s="455"/>
      <c r="AE84" s="455"/>
    </row>
    <row r="85" spans="1:31" s="140" customForma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102" t="s">
        <v>406</v>
      </c>
      <c r="N85" s="90" t="s">
        <v>29</v>
      </c>
      <c r="O85" s="148" t="s">
        <v>279</v>
      </c>
      <c r="P85" s="148" t="s">
        <v>7</v>
      </c>
      <c r="Q85" s="148" t="s">
        <v>195</v>
      </c>
      <c r="R85" s="148" t="s">
        <v>201</v>
      </c>
      <c r="S85" s="217">
        <f t="shared" si="11"/>
        <v>47217.07</v>
      </c>
      <c r="U85" s="164"/>
      <c r="V85" s="143"/>
      <c r="W85" s="143"/>
      <c r="X85" s="143"/>
      <c r="Y85" s="143"/>
      <c r="Z85" s="243"/>
      <c r="AB85" s="655"/>
      <c r="AC85" s="656"/>
      <c r="AD85" s="455"/>
      <c r="AE85" s="455"/>
    </row>
    <row r="86" spans="1:31" s="140" customForma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102" t="s">
        <v>406</v>
      </c>
      <c r="N86" s="90" t="s">
        <v>29</v>
      </c>
      <c r="O86" s="148" t="s">
        <v>279</v>
      </c>
      <c r="P86" s="148" t="s">
        <v>7</v>
      </c>
      <c r="Q86" s="148" t="s">
        <v>195</v>
      </c>
      <c r="R86" s="148" t="s">
        <v>367</v>
      </c>
      <c r="S86" s="217">
        <f t="shared" si="11"/>
        <v>-184.39000000000001</v>
      </c>
      <c r="U86" s="143"/>
      <c r="V86" s="143"/>
      <c r="W86" s="143"/>
      <c r="X86" s="143"/>
      <c r="Y86" s="143"/>
      <c r="Z86" s="243"/>
      <c r="AB86" s="655"/>
      <c r="AC86" s="656"/>
      <c r="AD86" s="455"/>
      <c r="AE86" s="455"/>
    </row>
    <row r="87" spans="1:31" s="140" customForma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102" t="s">
        <v>406</v>
      </c>
      <c r="N87" s="90" t="s">
        <v>29</v>
      </c>
      <c r="O87" s="148" t="s">
        <v>279</v>
      </c>
      <c r="P87" s="148" t="s">
        <v>7</v>
      </c>
      <c r="Q87" s="148" t="s">
        <v>195</v>
      </c>
      <c r="R87" s="148" t="s">
        <v>358</v>
      </c>
      <c r="S87" s="217">
        <f t="shared" si="11"/>
        <v>-256.5</v>
      </c>
      <c r="U87" s="332"/>
      <c r="V87" s="343"/>
      <c r="W87" s="343"/>
      <c r="X87" s="143"/>
      <c r="Y87" s="143"/>
      <c r="Z87" s="243"/>
      <c r="AB87" s="655"/>
      <c r="AC87" s="656"/>
      <c r="AD87" s="455"/>
      <c r="AE87" s="455"/>
    </row>
    <row r="88" spans="1:31" s="140" customForma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102" t="s">
        <v>406</v>
      </c>
      <c r="N88" s="90" t="s">
        <v>29</v>
      </c>
      <c r="O88" s="148" t="s">
        <v>279</v>
      </c>
      <c r="P88" s="148" t="s">
        <v>7</v>
      </c>
      <c r="Q88" s="148" t="s">
        <v>195</v>
      </c>
      <c r="R88" s="148" t="s">
        <v>368</v>
      </c>
      <c r="S88" s="217">
        <f t="shared" si="11"/>
        <v>600</v>
      </c>
      <c r="U88" s="143"/>
      <c r="V88" s="81"/>
      <c r="W88" s="278"/>
      <c r="X88" s="143"/>
      <c r="Y88" s="143"/>
      <c r="Z88" s="243"/>
      <c r="AB88" s="655"/>
      <c r="AC88" s="656"/>
      <c r="AD88" s="455"/>
      <c r="AE88" s="455"/>
    </row>
    <row r="89" spans="1:31" s="140" customForma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150" t="s">
        <v>406</v>
      </c>
      <c r="N89" s="265" t="s">
        <v>29</v>
      </c>
      <c r="O89" s="152" t="s">
        <v>279</v>
      </c>
      <c r="P89" s="152" t="s">
        <v>7</v>
      </c>
      <c r="Q89" s="152" t="s">
        <v>195</v>
      </c>
      <c r="R89" s="216" t="s">
        <v>168</v>
      </c>
      <c r="S89" s="218">
        <f>Unbilled!E10</f>
        <v>158606.6540112104</v>
      </c>
      <c r="U89" s="164"/>
      <c r="V89" s="81"/>
      <c r="W89" s="278"/>
      <c r="X89" s="143"/>
      <c r="Y89" s="143"/>
      <c r="Z89" s="243"/>
      <c r="AB89" s="655"/>
      <c r="AC89" s="656"/>
      <c r="AD89" s="455"/>
      <c r="AE89" s="455"/>
    </row>
    <row r="90" spans="1:31">
      <c r="M90" s="350" t="s">
        <v>536</v>
      </c>
      <c r="N90" s="264" t="s">
        <v>29</v>
      </c>
      <c r="O90" s="144" t="s">
        <v>279</v>
      </c>
      <c r="P90" s="219" t="s">
        <v>195</v>
      </c>
      <c r="Q90" s="219" t="s">
        <v>195</v>
      </c>
      <c r="R90" s="219" t="s">
        <v>195</v>
      </c>
      <c r="S90" s="220">
        <f ca="1">'Cost of Service and Proposed $'!N123</f>
        <v>651882.13868468441</v>
      </c>
      <c r="U90" s="143"/>
      <c r="V90" s="81"/>
      <c r="W90" s="278"/>
      <c r="X90" s="140"/>
      <c r="Y90" s="140"/>
      <c r="AB90" s="655"/>
      <c r="AC90" s="656"/>
      <c r="AD90" s="455"/>
      <c r="AE90" s="455"/>
    </row>
    <row r="91" spans="1:31">
      <c r="M91" s="227" t="s">
        <v>537</v>
      </c>
      <c r="N91" s="90" t="s">
        <v>29</v>
      </c>
      <c r="O91" s="100" t="s">
        <v>279</v>
      </c>
      <c r="P91" s="215" t="s">
        <v>195</v>
      </c>
      <c r="Q91" s="215" t="s">
        <v>195</v>
      </c>
      <c r="R91" s="215" t="s">
        <v>195</v>
      </c>
      <c r="S91" s="217">
        <f ca="1">'Cost of Service and Proposed $'!N124</f>
        <v>28803906.310936727</v>
      </c>
      <c r="U91" s="81"/>
      <c r="V91" s="143"/>
      <c r="W91" s="278"/>
      <c r="X91" s="140"/>
      <c r="Y91" s="140"/>
      <c r="AB91" s="655"/>
      <c r="AC91" s="656"/>
      <c r="AD91" s="455"/>
      <c r="AE91" s="455"/>
    </row>
    <row r="92" spans="1:31">
      <c r="M92" s="227" t="s">
        <v>538</v>
      </c>
      <c r="N92" s="90" t="s">
        <v>29</v>
      </c>
      <c r="O92" s="100" t="s">
        <v>279</v>
      </c>
      <c r="P92" s="215" t="s">
        <v>195</v>
      </c>
      <c r="Q92" s="215" t="s">
        <v>195</v>
      </c>
      <c r="R92" s="215" t="s">
        <v>195</v>
      </c>
      <c r="S92" s="217">
        <f ca="1">'Cost of Service and Proposed $'!N125</f>
        <v>9096884.8537916373</v>
      </c>
      <c r="U92" s="81"/>
      <c r="V92" s="143"/>
      <c r="W92" s="278"/>
      <c r="X92" s="140"/>
      <c r="Y92" s="140"/>
      <c r="AB92" s="655"/>
      <c r="AC92" s="656"/>
      <c r="AD92" s="455"/>
      <c r="AE92" s="455"/>
    </row>
    <row r="93" spans="1:31">
      <c r="M93" s="337" t="s">
        <v>539</v>
      </c>
      <c r="N93" s="265" t="s">
        <v>29</v>
      </c>
      <c r="O93" s="152" t="s">
        <v>279</v>
      </c>
      <c r="P93" s="216" t="s">
        <v>195</v>
      </c>
      <c r="Q93" s="216" t="s">
        <v>195</v>
      </c>
      <c r="R93" s="216" t="s">
        <v>195</v>
      </c>
      <c r="S93" s="218">
        <f ca="1">'Cost of Service and Proposed $'!N126</f>
        <v>48062652.742403001</v>
      </c>
      <c r="U93" s="143"/>
      <c r="AB93" s="655"/>
      <c r="AC93" s="656"/>
      <c r="AD93" s="455"/>
      <c r="AE93" s="455"/>
    </row>
    <row r="94" spans="1:31">
      <c r="M94" s="449" t="s">
        <v>534</v>
      </c>
      <c r="N94" s="449" t="s">
        <v>29</v>
      </c>
      <c r="O94" s="449" t="s">
        <v>351</v>
      </c>
      <c r="P94" s="219" t="s">
        <v>195</v>
      </c>
      <c r="Q94" s="146" t="s">
        <v>195</v>
      </c>
      <c r="R94" s="146" t="s">
        <v>335</v>
      </c>
      <c r="S94" s="219">
        <f ca="1">(T94*(U94-V94)+V94*100)/100</f>
        <v>1531371.7556732905</v>
      </c>
      <c r="T94" s="518">
        <v>10</v>
      </c>
      <c r="U94" s="140">
        <f ca="1">S90*(1-SUM(U98:U102)/SUM(S90:S93))</f>
        <v>640917.84746827953</v>
      </c>
      <c r="V94" s="140">
        <f ca="1">SUMIFS(S$55:S$89,R$55:R$89,R94)/SUM(S$55:S$62,S$64:S$71,S$77:S$84)*(SUM(S$90:S$93)-SUM(V$98:V$102))</f>
        <v>1630311.0788071805</v>
      </c>
      <c r="AB94" s="655"/>
      <c r="AC94" s="656"/>
      <c r="AD94" s="455"/>
      <c r="AE94" s="455"/>
    </row>
    <row r="95" spans="1:31">
      <c r="M95" s="447" t="s">
        <v>534</v>
      </c>
      <c r="N95" s="447" t="s">
        <v>29</v>
      </c>
      <c r="O95" s="447" t="s">
        <v>351</v>
      </c>
      <c r="P95" s="215" t="s">
        <v>195</v>
      </c>
      <c r="Q95" s="148" t="s">
        <v>195</v>
      </c>
      <c r="R95" s="148" t="s">
        <v>281</v>
      </c>
      <c r="S95" s="215">
        <f t="shared" ref="S95:S102" ca="1" si="12">(T95*(U95-V95)+V95*100)/100</f>
        <v>7982088.685813494</v>
      </c>
      <c r="T95" s="236">
        <f>$T$94</f>
        <v>10</v>
      </c>
      <c r="U95" s="140">
        <f ca="1">S91*(1-SUM(U98:U102)/SUM(S90:S93))</f>
        <v>28319440.794516262</v>
      </c>
      <c r="V95" s="140">
        <f t="shared" ref="V95:V96" ca="1" si="13">SUMIFS(S$55:S$89,R$55:R$89,R95)/SUM(S$55:S$62,S$64:S$71,S$77:S$84)*(SUM(S$90:S$93)-SUM(V$98:V$102))</f>
        <v>5722382.8959576311</v>
      </c>
      <c r="AB95" s="655"/>
      <c r="AC95" s="656"/>
      <c r="AD95" s="455"/>
      <c r="AE95" s="455"/>
    </row>
    <row r="96" spans="1:31">
      <c r="M96" s="447" t="s">
        <v>534</v>
      </c>
      <c r="N96" s="447" t="s">
        <v>29</v>
      </c>
      <c r="O96" s="447" t="s">
        <v>351</v>
      </c>
      <c r="P96" s="215" t="s">
        <v>195</v>
      </c>
      <c r="Q96" s="148" t="s">
        <v>195</v>
      </c>
      <c r="R96" s="148" t="s">
        <v>202</v>
      </c>
      <c r="S96" s="215">
        <f t="shared" ca="1" si="12"/>
        <v>15734184.855334399</v>
      </c>
      <c r="T96" s="236">
        <f t="shared" ref="T96:T102" si="14">$T$94</f>
        <v>10</v>
      </c>
      <c r="U96" s="140">
        <f ca="1">S92*(1-SUM(U98:U102)/SUM(S90:S93))</f>
        <v>8943880.3629793506</v>
      </c>
      <c r="V96" s="140">
        <f t="shared" ca="1" si="13"/>
        <v>16488663.132262738</v>
      </c>
      <c r="Z96" s="347"/>
      <c r="AB96" s="655"/>
      <c r="AC96" s="656"/>
      <c r="AD96" s="455"/>
      <c r="AE96" s="455"/>
    </row>
    <row r="97" spans="13:31">
      <c r="M97" s="447" t="s">
        <v>534</v>
      </c>
      <c r="N97" s="447" t="s">
        <v>29</v>
      </c>
      <c r="O97" s="447" t="s">
        <v>351</v>
      </c>
      <c r="P97" s="215" t="s">
        <v>195</v>
      </c>
      <c r="Q97" s="148" t="s">
        <v>195</v>
      </c>
      <c r="R97" s="148" t="s">
        <v>6</v>
      </c>
      <c r="S97" s="215">
        <f t="shared" ca="1" si="12"/>
        <v>59910859.642519444</v>
      </c>
      <c r="T97" s="236">
        <f t="shared" si="14"/>
        <v>10</v>
      </c>
      <c r="U97" s="140">
        <f ca="1">S93*(1-SUM(U98:U102)/SUM(S90:S93))</f>
        <v>47254265.934376732</v>
      </c>
      <c r="V97" s="140">
        <f ca="1">SUMIFS(S$55:S$89,R$55:R$89,"kWh*")/SUM(S$55:S$62,S$64:S$71,S$77:S$84)*(SUM(S$90:S$93)-SUM(V$98:V$102))</f>
        <v>61317147.832313076</v>
      </c>
      <c r="Z97" s="347"/>
      <c r="AB97" s="655"/>
      <c r="AC97" s="656"/>
      <c r="AD97" s="455"/>
      <c r="AE97" s="455"/>
    </row>
    <row r="98" spans="13:31">
      <c r="M98" s="447" t="s">
        <v>534</v>
      </c>
      <c r="N98" s="447" t="s">
        <v>29</v>
      </c>
      <c r="O98" s="447" t="s">
        <v>351</v>
      </c>
      <c r="P98" s="215" t="s">
        <v>195</v>
      </c>
      <c r="Q98" s="148" t="s">
        <v>195</v>
      </c>
      <c r="R98" s="148" t="s">
        <v>201</v>
      </c>
      <c r="S98" s="215">
        <f t="shared" si="12"/>
        <v>234306.95</v>
      </c>
      <c r="T98" s="236">
        <f t="shared" si="14"/>
        <v>10</v>
      </c>
      <c r="U98" s="140">
        <f>SUMIFS($S$55:$S$89,$R$55:$R$89,R98)</f>
        <v>234306.95</v>
      </c>
      <c r="V98" s="140">
        <f>SUMIFS($S$55:$S$89,$R$55:$R$89,R98)</f>
        <v>234306.95</v>
      </c>
      <c r="Z98" s="81"/>
      <c r="AB98" s="655"/>
      <c r="AC98" s="656"/>
      <c r="AD98" s="455"/>
      <c r="AE98" s="455"/>
    </row>
    <row r="99" spans="13:31">
      <c r="M99" s="447" t="s">
        <v>534</v>
      </c>
      <c r="N99" s="447" t="s">
        <v>29</v>
      </c>
      <c r="O99" s="447" t="s">
        <v>351</v>
      </c>
      <c r="P99" s="215" t="s">
        <v>195</v>
      </c>
      <c r="Q99" s="148" t="s">
        <v>195</v>
      </c>
      <c r="R99" s="148" t="s">
        <v>367</v>
      </c>
      <c r="S99" s="215">
        <f t="shared" si="12"/>
        <v>-9254.81</v>
      </c>
      <c r="T99" s="236">
        <f t="shared" si="14"/>
        <v>10</v>
      </c>
      <c r="U99" s="140">
        <f t="shared" ref="U99:U102" si="15">SUMIFS($S$55:$S$89,$R$55:$R$89,R99)</f>
        <v>-9254.81</v>
      </c>
      <c r="V99" s="140">
        <f t="shared" ref="V99:V102" si="16">SUMIFS($S$55:$S$89,$R$55:$R$89,R99)</f>
        <v>-9254.81</v>
      </c>
      <c r="Z99" s="347"/>
      <c r="AB99" s="655"/>
      <c r="AC99" s="656"/>
      <c r="AD99" s="455"/>
      <c r="AE99" s="455"/>
    </row>
    <row r="100" spans="13:31">
      <c r="M100" s="447" t="s">
        <v>534</v>
      </c>
      <c r="N100" s="447" t="s">
        <v>29</v>
      </c>
      <c r="O100" s="447" t="s">
        <v>351</v>
      </c>
      <c r="P100" s="215" t="s">
        <v>195</v>
      </c>
      <c r="Q100" s="148" t="s">
        <v>195</v>
      </c>
      <c r="R100" s="148" t="s">
        <v>358</v>
      </c>
      <c r="S100" s="215">
        <f t="shared" si="12"/>
        <v>-13598.7</v>
      </c>
      <c r="T100" s="236">
        <f t="shared" si="14"/>
        <v>10</v>
      </c>
      <c r="U100" s="140">
        <f t="shared" si="15"/>
        <v>-13598.699999999999</v>
      </c>
      <c r="V100" s="140">
        <f t="shared" si="16"/>
        <v>-13598.699999999999</v>
      </c>
      <c r="Z100" s="347"/>
      <c r="AB100" s="655"/>
      <c r="AC100" s="656"/>
      <c r="AD100" s="455"/>
      <c r="AE100" s="455"/>
    </row>
    <row r="101" spans="13:31">
      <c r="M101" s="447" t="s">
        <v>534</v>
      </c>
      <c r="N101" s="447" t="s">
        <v>29</v>
      </c>
      <c r="O101" s="447" t="s">
        <v>351</v>
      </c>
      <c r="P101" s="215" t="s">
        <v>195</v>
      </c>
      <c r="Q101" s="148" t="s">
        <v>195</v>
      </c>
      <c r="R101" s="148" t="s">
        <v>368</v>
      </c>
      <c r="S101" s="215">
        <f t="shared" si="12"/>
        <v>7080</v>
      </c>
      <c r="T101" s="236">
        <f t="shared" si="14"/>
        <v>10</v>
      </c>
      <c r="U101" s="140">
        <f t="shared" si="15"/>
        <v>7080</v>
      </c>
      <c r="V101" s="140">
        <f t="shared" si="16"/>
        <v>7080</v>
      </c>
      <c r="AB101" s="655"/>
      <c r="AC101" s="656"/>
      <c r="AD101" s="455"/>
      <c r="AE101" s="455"/>
    </row>
    <row r="102" spans="13:31">
      <c r="M102" s="448" t="s">
        <v>534</v>
      </c>
      <c r="N102" s="448" t="s">
        <v>29</v>
      </c>
      <c r="O102" s="448" t="s">
        <v>351</v>
      </c>
      <c r="P102" s="216" t="s">
        <v>195</v>
      </c>
      <c r="Q102" s="152" t="s">
        <v>195</v>
      </c>
      <c r="R102" s="216" t="s">
        <v>168</v>
      </c>
      <c r="S102" s="216">
        <f t="shared" si="12"/>
        <v>1238287.6664754222</v>
      </c>
      <c r="T102" s="236">
        <f t="shared" si="14"/>
        <v>10</v>
      </c>
      <c r="U102" s="140">
        <f t="shared" si="15"/>
        <v>1238287.6664754222</v>
      </c>
      <c r="V102" s="140">
        <f t="shared" si="16"/>
        <v>1238287.6664754222</v>
      </c>
      <c r="AB102" s="655"/>
      <c r="AC102" s="656"/>
      <c r="AD102" s="455"/>
      <c r="AE102" s="455"/>
    </row>
    <row r="103" spans="13:31">
      <c r="M103" s="219" t="s">
        <v>505</v>
      </c>
      <c r="N103" s="219" t="s">
        <v>403</v>
      </c>
      <c r="O103" s="449" t="s">
        <v>351</v>
      </c>
      <c r="P103" s="219" t="s">
        <v>195</v>
      </c>
      <c r="Q103" s="146" t="s">
        <v>203</v>
      </c>
      <c r="R103" s="146" t="s">
        <v>335</v>
      </c>
      <c r="S103" s="323">
        <f ca="1">ROUND(T103/100*W103*X103/Y103/Z103,U103)</f>
        <v>240.82</v>
      </c>
      <c r="T103" s="236">
        <f>100+Summary!$Q$10</f>
        <v>101.121</v>
      </c>
      <c r="U103" s="140">
        <v>2</v>
      </c>
      <c r="V103" s="311">
        <f ca="1">W103*X103/Y103/Z103</f>
        <v>238.14563738806217</v>
      </c>
      <c r="W103" s="4">
        <f ca="1">SUMIFS(S$94:S$102,R$94:R$102,R103)</f>
        <v>1531371.7556732905</v>
      </c>
      <c r="X103" s="140">
        <f t="shared" ref="X103:X108" si="17">SUMIFS(S$55:S$89,Q$55:Q$89,Q103,R$55:R$89,R103)</f>
        <v>69502.780475098974</v>
      </c>
      <c r="Y103" s="140">
        <f t="shared" ref="Y103:Y108" si="18">SUMIFS(S$55:S$89,R$55:R$89,R103)</f>
        <v>1594739.2510412361</v>
      </c>
      <c r="Z103" s="140">
        <f t="shared" ref="Z103:Z108" si="19">SUMIFS(S$8:S$39,Q$8:Q$39,Q103,R$8:R$39,R103)</f>
        <v>280.25314707701199</v>
      </c>
      <c r="AB103" s="655"/>
      <c r="AC103" s="656"/>
      <c r="AD103" s="455"/>
      <c r="AE103" s="455"/>
    </row>
    <row r="104" spans="13:31">
      <c r="M104" s="215" t="s">
        <v>505</v>
      </c>
      <c r="N104" s="215" t="s">
        <v>403</v>
      </c>
      <c r="O104" s="447" t="s">
        <v>351</v>
      </c>
      <c r="P104" s="215" t="s">
        <v>195</v>
      </c>
      <c r="Q104" s="148" t="s">
        <v>284</v>
      </c>
      <c r="R104" s="148" t="s">
        <v>335</v>
      </c>
      <c r="S104" s="324">
        <f t="shared" ref="S104:S113" ca="1" si="20">ROUND(T104/100*W104*X104/Y104/Z104,U104)</f>
        <v>90.31</v>
      </c>
      <c r="T104" s="236">
        <f>100+Summary!$Q$10</f>
        <v>101.121</v>
      </c>
      <c r="U104" s="140">
        <v>2</v>
      </c>
      <c r="V104" s="311">
        <f t="shared" ref="V104:V113" ca="1" si="21">W104*X104/Y104/Z104</f>
        <v>89.304614020523317</v>
      </c>
      <c r="W104" s="4">
        <f t="shared" ref="W104:W109" ca="1" si="22">SUMIFS(S$94:S$102,R$94:R$102,R104)</f>
        <v>1531371.7556732905</v>
      </c>
      <c r="X104" s="140">
        <f t="shared" si="17"/>
        <v>808271.96023792657</v>
      </c>
      <c r="Y104" s="140">
        <f t="shared" si="18"/>
        <v>1594739.2510412361</v>
      </c>
      <c r="Z104" s="140">
        <f t="shared" si="19"/>
        <v>8691.0963466443718</v>
      </c>
      <c r="AB104" s="655"/>
      <c r="AC104" s="656"/>
      <c r="AD104" s="455"/>
      <c r="AE104" s="455"/>
    </row>
    <row r="105" spans="13:31">
      <c r="M105" s="215" t="s">
        <v>505</v>
      </c>
      <c r="N105" s="215" t="s">
        <v>403</v>
      </c>
      <c r="O105" s="447" t="s">
        <v>351</v>
      </c>
      <c r="P105" s="215" t="s">
        <v>195</v>
      </c>
      <c r="Q105" s="148" t="s">
        <v>204</v>
      </c>
      <c r="R105" s="148" t="s">
        <v>335</v>
      </c>
      <c r="S105" s="324">
        <f t="shared" ca="1" si="20"/>
        <v>179.64</v>
      </c>
      <c r="T105" s="236">
        <f>100+Summary!$Q$10</f>
        <v>101.121</v>
      </c>
      <c r="U105" s="140">
        <v>2</v>
      </c>
      <c r="V105" s="311">
        <f t="shared" ca="1" si="21"/>
        <v>177.64896337415925</v>
      </c>
      <c r="W105" s="4">
        <f t="shared" ca="1" si="22"/>
        <v>1531371.7556732905</v>
      </c>
      <c r="X105" s="140">
        <f t="shared" si="17"/>
        <v>716964.51032821066</v>
      </c>
      <c r="Y105" s="140">
        <f t="shared" si="18"/>
        <v>1594739.2510412361</v>
      </c>
      <c r="Z105" s="140">
        <f t="shared" si="19"/>
        <v>3875.4838396119494</v>
      </c>
      <c r="AB105" s="655"/>
      <c r="AC105" s="656"/>
      <c r="AD105" s="455"/>
      <c r="AE105" s="455"/>
    </row>
    <row r="106" spans="13:31">
      <c r="M106" s="215" t="s">
        <v>505</v>
      </c>
      <c r="N106" s="215" t="s">
        <v>403</v>
      </c>
      <c r="O106" s="447" t="s">
        <v>351</v>
      </c>
      <c r="P106" s="215" t="s">
        <v>195</v>
      </c>
      <c r="Q106" s="148" t="s">
        <v>284</v>
      </c>
      <c r="R106" s="148" t="s">
        <v>281</v>
      </c>
      <c r="S106" s="324">
        <f t="shared" ca="1" si="20"/>
        <v>2.6</v>
      </c>
      <c r="T106" s="236">
        <f>100+Summary!$Q$10</f>
        <v>101.121</v>
      </c>
      <c r="U106" s="140">
        <v>2</v>
      </c>
      <c r="V106" s="311">
        <f t="shared" ca="1" si="21"/>
        <v>2.5668053519280507</v>
      </c>
      <c r="W106" s="4">
        <f t="shared" ca="1" si="22"/>
        <v>7982088.685813494</v>
      </c>
      <c r="X106" s="140">
        <f t="shared" si="17"/>
        <v>2722316.4600000004</v>
      </c>
      <c r="Y106" s="140">
        <f t="shared" si="18"/>
        <v>5597525.9766666675</v>
      </c>
      <c r="Z106" s="140">
        <f t="shared" si="19"/>
        <v>1512398.0333333334</v>
      </c>
      <c r="AB106" s="655"/>
      <c r="AC106" s="656"/>
      <c r="AD106" s="455"/>
      <c r="AE106" s="455"/>
    </row>
    <row r="107" spans="13:31">
      <c r="M107" s="215" t="s">
        <v>505</v>
      </c>
      <c r="N107" s="215" t="s">
        <v>403</v>
      </c>
      <c r="O107" s="447" t="s">
        <v>351</v>
      </c>
      <c r="P107" s="215" t="s">
        <v>195</v>
      </c>
      <c r="Q107" s="148" t="s">
        <v>204</v>
      </c>
      <c r="R107" s="148" t="s">
        <v>281</v>
      </c>
      <c r="S107" s="324">
        <f t="shared" ca="1" si="20"/>
        <v>2.13</v>
      </c>
      <c r="T107" s="236">
        <f>100+Summary!$Q$10</f>
        <v>101.121</v>
      </c>
      <c r="U107" s="140">
        <v>2</v>
      </c>
      <c r="V107" s="311">
        <f t="shared" ca="1" si="21"/>
        <v>2.1104844004741747</v>
      </c>
      <c r="W107" s="4">
        <f t="shared" ca="1" si="22"/>
        <v>7982088.685813494</v>
      </c>
      <c r="X107" s="140">
        <f t="shared" si="17"/>
        <v>2875209.5166666666</v>
      </c>
      <c r="Y107" s="140">
        <f t="shared" si="18"/>
        <v>5597525.9766666675</v>
      </c>
      <c r="Z107" s="140">
        <f t="shared" si="19"/>
        <v>1942709.1328828828</v>
      </c>
      <c r="AB107" s="655"/>
      <c r="AC107" s="656"/>
      <c r="AD107" s="455"/>
      <c r="AE107" s="455"/>
    </row>
    <row r="108" spans="13:31">
      <c r="M108" s="215" t="s">
        <v>505</v>
      </c>
      <c r="N108" s="215" t="s">
        <v>403</v>
      </c>
      <c r="O108" s="447" t="s">
        <v>351</v>
      </c>
      <c r="P108" s="215" t="s">
        <v>195</v>
      </c>
      <c r="Q108" s="148" t="s">
        <v>195</v>
      </c>
      <c r="R108" s="148" t="s">
        <v>202</v>
      </c>
      <c r="S108" s="324">
        <f t="shared" ca="1" si="20"/>
        <v>6.21</v>
      </c>
      <c r="T108" s="236">
        <f>100+Summary!$Q$10</f>
        <v>101.121</v>
      </c>
      <c r="U108" s="140">
        <v>2</v>
      </c>
      <c r="V108" s="311">
        <f t="shared" ca="1" si="21"/>
        <v>6.1458244177267858</v>
      </c>
      <c r="W108" s="4">
        <f t="shared" ca="1" si="22"/>
        <v>15734184.855334399</v>
      </c>
      <c r="X108" s="140">
        <f t="shared" si="17"/>
        <v>16128896.280000001</v>
      </c>
      <c r="Y108" s="140">
        <f t="shared" si="18"/>
        <v>16128896.280000001</v>
      </c>
      <c r="Z108" s="140">
        <f t="shared" si="19"/>
        <v>2560142.2666666666</v>
      </c>
    </row>
    <row r="109" spans="13:31">
      <c r="M109" s="215" t="s">
        <v>505</v>
      </c>
      <c r="N109" s="215" t="s">
        <v>403</v>
      </c>
      <c r="O109" s="447" t="s">
        <v>351</v>
      </c>
      <c r="P109" s="215" t="s">
        <v>195</v>
      </c>
      <c r="Q109" s="148" t="s">
        <v>195</v>
      </c>
      <c r="R109" s="64" t="s">
        <v>6</v>
      </c>
      <c r="S109" s="324">
        <f t="shared" ca="1" si="20"/>
        <v>6.54E-2</v>
      </c>
      <c r="T109" s="236">
        <f>100+Summary!$Q$10</f>
        <v>101.121</v>
      </c>
      <c r="U109" s="140">
        <v>5</v>
      </c>
      <c r="V109" s="311">
        <f t="shared" ca="1" si="21"/>
        <v>6.4670670778278039E-2</v>
      </c>
      <c r="W109" s="4">
        <f t="shared" ca="1" si="22"/>
        <v>59910859.642519444</v>
      </c>
      <c r="X109" s="140">
        <f>SUMIFS(S$55:S$89,Q$55:Q$89,Q109,R$55:R$89,"kWh*")</f>
        <v>59979266.338318788</v>
      </c>
      <c r="Y109" s="140">
        <f>SUMIFS(S$55:S$89,R$55:R$89,"kWh*")</f>
        <v>59979266.338318788</v>
      </c>
      <c r="Z109" s="140">
        <f>SUMIFS(S$8:S$39,Q$8:Q$39,Q109,R$8:R$39,"kWh*")</f>
        <v>926399230.4629482</v>
      </c>
    </row>
    <row r="110" spans="13:31">
      <c r="M110" s="215" t="s">
        <v>505</v>
      </c>
      <c r="N110" s="215" t="s">
        <v>403</v>
      </c>
      <c r="O110" s="447" t="s">
        <v>351</v>
      </c>
      <c r="P110" s="215" t="s">
        <v>195</v>
      </c>
      <c r="Q110" s="148" t="s">
        <v>195</v>
      </c>
      <c r="R110" s="148" t="s">
        <v>201</v>
      </c>
      <c r="S110" s="324">
        <f t="shared" si="20"/>
        <v>0.59</v>
      </c>
      <c r="T110" s="236">
        <f>100+Summary!$Q$10</f>
        <v>101.121</v>
      </c>
      <c r="U110" s="140">
        <v>2</v>
      </c>
      <c r="V110" s="311">
        <f t="shared" si="21"/>
        <v>0.58000000000000007</v>
      </c>
      <c r="W110" s="4">
        <f>S98</f>
        <v>234306.95</v>
      </c>
      <c r="X110" s="140">
        <f>SUMIFS(S$55:S$89,Q$55:Q$89,Q110,R$55:R$89,R110)</f>
        <v>234306.95</v>
      </c>
      <c r="Y110" s="140">
        <f>SUMIFS(S$55:S$89,R$55:R$89,R110)</f>
        <v>234306.95</v>
      </c>
      <c r="Z110" s="140">
        <f>SUMIFS(S$8:S$39,Q$8:Q$39,Q110,R$8:R$39,R110)</f>
        <v>403977.5</v>
      </c>
      <c r="AD110" s="315"/>
      <c r="AE110" s="377"/>
    </row>
    <row r="111" spans="13:31">
      <c r="M111" s="215" t="s">
        <v>505</v>
      </c>
      <c r="N111" s="215" t="s">
        <v>403</v>
      </c>
      <c r="O111" s="447" t="s">
        <v>351</v>
      </c>
      <c r="P111" s="215" t="s">
        <v>195</v>
      </c>
      <c r="Q111" s="148" t="s">
        <v>195</v>
      </c>
      <c r="R111" s="148" t="s">
        <v>367</v>
      </c>
      <c r="S111" s="324">
        <f t="shared" si="20"/>
        <v>-0.01</v>
      </c>
      <c r="T111" s="518">
        <v>100</v>
      </c>
      <c r="U111" s="140">
        <v>2</v>
      </c>
      <c r="V111" s="311">
        <f>W111*X111/Y111/Z111</f>
        <v>-0.01</v>
      </c>
      <c r="W111" s="4">
        <f>S99</f>
        <v>-9254.81</v>
      </c>
      <c r="X111" s="140">
        <f>SUMIFS(S$55:S$89,Q$55:Q$89,Q111,R$55:R$89,R111)</f>
        <v>-9254.81</v>
      </c>
      <c r="Y111" s="140">
        <f>SUMIFS(S$55:S$89,R$55:R$89,R111)</f>
        <v>-9254.81</v>
      </c>
      <c r="Z111" s="140">
        <f>SUMIFS(S$8:S$39,Q$8:Q$39,Q111,R$8:R$39,R111)</f>
        <v>925481</v>
      </c>
      <c r="AC111" s="315"/>
      <c r="AD111" s="157"/>
      <c r="AE111" s="455"/>
    </row>
    <row r="112" spans="13:31">
      <c r="M112" s="215" t="s">
        <v>505</v>
      </c>
      <c r="N112" s="215" t="s">
        <v>403</v>
      </c>
      <c r="O112" s="447" t="s">
        <v>351</v>
      </c>
      <c r="P112" s="215" t="s">
        <v>195</v>
      </c>
      <c r="Q112" s="148" t="s">
        <v>195</v>
      </c>
      <c r="R112" s="148" t="s">
        <v>358</v>
      </c>
      <c r="S112" s="324">
        <f t="shared" si="20"/>
        <v>-0.3</v>
      </c>
      <c r="T112" s="518">
        <v>100</v>
      </c>
      <c r="U112" s="140">
        <v>2</v>
      </c>
      <c r="V112" s="311">
        <f t="shared" si="21"/>
        <v>-0.3</v>
      </c>
      <c r="W112" s="4">
        <f>S100</f>
        <v>-13598.7</v>
      </c>
      <c r="X112" s="140">
        <f>SUMIFS(S$55:S$89,Q$55:Q$89,Q112,R$55:R$89,R112)</f>
        <v>-13598.699999999999</v>
      </c>
      <c r="Y112" s="140">
        <f>SUMIFS(S$55:S$89,R$55:R$89,R112)</f>
        <v>-13598.699999999999</v>
      </c>
      <c r="Z112" s="140">
        <f>SUMIFS(S$8:S$39,Q$8:Q$39,Q112,R$8:R$39,R112)</f>
        <v>45329</v>
      </c>
      <c r="AD112" s="157"/>
      <c r="AE112" s="455"/>
    </row>
    <row r="113" spans="13:31">
      <c r="M113" s="215" t="s">
        <v>505</v>
      </c>
      <c r="N113" s="215" t="s">
        <v>403</v>
      </c>
      <c r="O113" s="447" t="s">
        <v>351</v>
      </c>
      <c r="P113" s="215" t="s">
        <v>195</v>
      </c>
      <c r="Q113" s="148" t="s">
        <v>195</v>
      </c>
      <c r="R113" s="148" t="s">
        <v>368</v>
      </c>
      <c r="S113" s="324">
        <f t="shared" si="20"/>
        <v>60</v>
      </c>
      <c r="T113" s="518">
        <v>100</v>
      </c>
      <c r="U113" s="140">
        <v>2</v>
      </c>
      <c r="V113" s="311">
        <f t="shared" si="21"/>
        <v>60</v>
      </c>
      <c r="W113" s="4">
        <f>S101</f>
        <v>7080</v>
      </c>
      <c r="X113" s="140">
        <f>SUMIFS(S$55:S$89,Q$55:Q$89,Q113,R$55:R$89,R113)</f>
        <v>7080</v>
      </c>
      <c r="Y113" s="140">
        <f>SUMIFS(S$55:S$89,R$55:R$89,R113)</f>
        <v>7080</v>
      </c>
      <c r="Z113" s="140">
        <f>SUMIFS(S$8:S$39,Q$8:Q$39,Q113,R$8:R$39,R113)</f>
        <v>118</v>
      </c>
    </row>
    <row r="114" spans="13:31">
      <c r="M114" s="215" t="s">
        <v>505</v>
      </c>
      <c r="N114" s="215" t="s">
        <v>403</v>
      </c>
      <c r="O114" s="447" t="s">
        <v>489</v>
      </c>
      <c r="P114" s="215" t="s">
        <v>195</v>
      </c>
      <c r="Q114" s="215" t="s">
        <v>195</v>
      </c>
      <c r="R114" s="215" t="s">
        <v>335</v>
      </c>
      <c r="S114" s="324">
        <f ca="1">ROUND(T114/100*W114*X114/Y114/Z114,U114)</f>
        <v>16.77</v>
      </c>
      <c r="T114" s="236">
        <f>100+Summary!$Q$10</f>
        <v>101.121</v>
      </c>
      <c r="U114" s="140">
        <v>2</v>
      </c>
      <c r="V114" s="311">
        <f ca="1">W114*X114/Y114/Z114</f>
        <v>16.582315338692315</v>
      </c>
      <c r="W114" s="4">
        <f ca="1">Sch.24!S106+S94</f>
        <v>4354735.1670890786</v>
      </c>
      <c r="X114" s="27">
        <v>1</v>
      </c>
      <c r="Y114" s="27">
        <v>1</v>
      </c>
      <c r="Z114" s="140">
        <f>Sch.24!Z115+Sch.24!Z117+Z103+Z104+Z105</f>
        <v>262613.2164383562</v>
      </c>
      <c r="AD114" s="413" t="s">
        <v>544</v>
      </c>
      <c r="AE114" s="441"/>
    </row>
    <row r="115" spans="13:31">
      <c r="M115" s="215" t="s">
        <v>505</v>
      </c>
      <c r="N115" s="215" t="s">
        <v>403</v>
      </c>
      <c r="O115" s="447" t="s">
        <v>489</v>
      </c>
      <c r="P115" s="215" t="s">
        <v>195</v>
      </c>
      <c r="Q115" s="215" t="s">
        <v>195</v>
      </c>
      <c r="R115" s="101" t="s">
        <v>197</v>
      </c>
      <c r="S115" s="324">
        <f ca="1">ROUND(T115/100*W115*X115/Y115/Z115,U115)+AA115+AB115</f>
        <v>0.20517000000000002</v>
      </c>
      <c r="T115" s="236">
        <f>100+Summary!$Q$10</f>
        <v>101.121</v>
      </c>
      <c r="U115" s="140">
        <v>5</v>
      </c>
      <c r="V115" s="311">
        <f ca="1">W115*X115/Y115/Z115+AA115+AB115</f>
        <v>0.20411564924831743</v>
      </c>
      <c r="W115" s="4">
        <f ca="1">SUM(Sch.24!S107:S113,S95:S101)</f>
        <v>138044974.04175571</v>
      </c>
      <c r="X115" s="4">
        <v>1</v>
      </c>
      <c r="Y115" s="4">
        <v>1</v>
      </c>
      <c r="Z115" s="140">
        <f>Sch.24!Z122+Sch.24!Z124+Z109</f>
        <v>1470508860.8932304</v>
      </c>
      <c r="AA115" s="452">
        <f>ROUND((S53-S54)*(1-AE115/100),5)</f>
        <v>9.7189999999999999E-2</v>
      </c>
      <c r="AB115" s="344">
        <f>ROUND(0.01866*(1-AE116/100),5)</f>
        <v>1.3050000000000001E-2</v>
      </c>
      <c r="AC115" s="314"/>
      <c r="AD115" s="450" t="s">
        <v>491</v>
      </c>
      <c r="AE115" s="453">
        <v>15.278021888208601</v>
      </c>
    </row>
    <row r="116" spans="13:31">
      <c r="M116" s="216" t="s">
        <v>505</v>
      </c>
      <c r="N116" s="216" t="s">
        <v>403</v>
      </c>
      <c r="O116" s="448" t="s">
        <v>489</v>
      </c>
      <c r="P116" s="216" t="s">
        <v>195</v>
      </c>
      <c r="Q116" s="216" t="s">
        <v>195</v>
      </c>
      <c r="R116" s="421" t="s">
        <v>198</v>
      </c>
      <c r="S116" s="325">
        <f ca="1">ROUND(T116/100*W116*X116/Y116/Z116,U116)+AA116+AB116</f>
        <v>9.0450000000000003E-2</v>
      </c>
      <c r="T116" s="236">
        <f>100+Summary!$Q$10</f>
        <v>101.121</v>
      </c>
      <c r="U116" s="140">
        <v>5</v>
      </c>
      <c r="V116" s="311">
        <f ca="1">W116*X116/Y116/Z116+AA116+AB116</f>
        <v>8.939564924831743E-2</v>
      </c>
      <c r="W116" s="4">
        <f ca="1">SUM(Sch.24!S107:S113,S95:S101)</f>
        <v>138044974.04175571</v>
      </c>
      <c r="X116" s="4">
        <v>1</v>
      </c>
      <c r="Y116" s="4">
        <v>1</v>
      </c>
      <c r="Z116" s="140">
        <f>Sch.24!Z122+Sch.24!Z124+Z109</f>
        <v>1470508860.8932304</v>
      </c>
      <c r="AA116" s="452">
        <f>ROUND((S54-S53)*AE115/100,5)</f>
        <v>-1.753E-2</v>
      </c>
      <c r="AB116" s="344">
        <f>ROUND(0.01866*(1-AE116/100),5)</f>
        <v>1.3050000000000001E-2</v>
      </c>
      <c r="AC116" s="314"/>
      <c r="AD116" s="444" t="s">
        <v>492</v>
      </c>
      <c r="AE116" s="443">
        <v>30.057274160620899</v>
      </c>
    </row>
    <row r="117" spans="13:31">
      <c r="M117" s="219" t="s">
        <v>505</v>
      </c>
      <c r="N117" s="502" t="s">
        <v>29</v>
      </c>
      <c r="O117" s="449" t="s">
        <v>279</v>
      </c>
      <c r="P117" s="505" t="s">
        <v>4</v>
      </c>
      <c r="Q117" s="146" t="s">
        <v>203</v>
      </c>
      <c r="R117" s="146" t="s">
        <v>335</v>
      </c>
      <c r="S117" s="220">
        <f t="shared" ref="S117:S152" ca="1" si="23">IF(R117="Unbilled",SUMIFS(S$55:S$89,P$55:P$89,P117,R$55:R$89,R117),SUMIFS(S$103:S$113,Q$103:Q$113,Q117,R$103:R$113,R117)*U117)</f>
        <v>481.64</v>
      </c>
      <c r="T117" s="140">
        <f t="shared" ref="T117:T152" ca="1" si="24">IF(R117="Unbilled",SUMIFS(S$55:S$89,P$55:P$89,P117,R$55:R$89,R117),SUMIFS(V$103:V$113,Q$103:Q$113,Q117,R$103:R$113,R117)*U117)</f>
        <v>476.29127477612434</v>
      </c>
      <c r="U117" s="140">
        <f t="shared" ref="U117:U122" si="25">SUMIFS(S$8:S$39,P$8:P$39,P117,Q$8:Q$39,Q117,R$8:R$39,R117)</f>
        <v>2</v>
      </c>
      <c r="Z117" s="1"/>
    </row>
    <row r="118" spans="13:31">
      <c r="M118" s="215" t="s">
        <v>505</v>
      </c>
      <c r="N118" s="503" t="s">
        <v>29</v>
      </c>
      <c r="O118" s="447" t="s">
        <v>279</v>
      </c>
      <c r="P118" s="506" t="s">
        <v>4</v>
      </c>
      <c r="Q118" s="148" t="s">
        <v>284</v>
      </c>
      <c r="R118" s="148" t="s">
        <v>335</v>
      </c>
      <c r="S118" s="217">
        <f t="shared" ca="1" si="23"/>
        <v>3341.4700000000003</v>
      </c>
      <c r="T118" s="140">
        <f t="shared" ca="1" si="24"/>
        <v>3304.2707187593628</v>
      </c>
      <c r="U118" s="140">
        <f t="shared" si="25"/>
        <v>37</v>
      </c>
    </row>
    <row r="119" spans="13:31">
      <c r="M119" s="215" t="s">
        <v>505</v>
      </c>
      <c r="N119" s="503" t="s">
        <v>29</v>
      </c>
      <c r="O119" s="447" t="s">
        <v>279</v>
      </c>
      <c r="P119" s="506" t="s">
        <v>4</v>
      </c>
      <c r="Q119" s="148" t="s">
        <v>204</v>
      </c>
      <c r="R119" s="148" t="s">
        <v>335</v>
      </c>
      <c r="S119" s="217">
        <f t="shared" ca="1" si="23"/>
        <v>1257.48</v>
      </c>
      <c r="T119" s="140">
        <f t="shared" ca="1" si="24"/>
        <v>1243.5427436191148</v>
      </c>
      <c r="U119" s="140">
        <f t="shared" si="25"/>
        <v>7</v>
      </c>
    </row>
    <row r="120" spans="13:31">
      <c r="M120" s="215" t="s">
        <v>505</v>
      </c>
      <c r="N120" s="503" t="s">
        <v>29</v>
      </c>
      <c r="O120" s="447" t="s">
        <v>279</v>
      </c>
      <c r="P120" s="506" t="s">
        <v>4</v>
      </c>
      <c r="Q120" s="148" t="s">
        <v>284</v>
      </c>
      <c r="R120" s="148" t="s">
        <v>281</v>
      </c>
      <c r="S120" s="217">
        <f t="shared" ca="1" si="23"/>
        <v>13709.800000000001</v>
      </c>
      <c r="T120" s="140">
        <f t="shared" ca="1" si="24"/>
        <v>13534.764620716611</v>
      </c>
      <c r="U120" s="140">
        <f t="shared" si="25"/>
        <v>5273</v>
      </c>
    </row>
    <row r="121" spans="13:31">
      <c r="M121" s="215" t="s">
        <v>505</v>
      </c>
      <c r="N121" s="503" t="s">
        <v>29</v>
      </c>
      <c r="O121" s="447" t="s">
        <v>279</v>
      </c>
      <c r="P121" s="506" t="s">
        <v>4</v>
      </c>
      <c r="Q121" s="148" t="s">
        <v>204</v>
      </c>
      <c r="R121" s="148" t="s">
        <v>281</v>
      </c>
      <c r="S121" s="217">
        <f t="shared" ca="1" si="23"/>
        <v>4615.71</v>
      </c>
      <c r="T121" s="140">
        <f t="shared" ca="1" si="24"/>
        <v>4573.419695827537</v>
      </c>
      <c r="U121" s="140">
        <f t="shared" si="25"/>
        <v>2167</v>
      </c>
    </row>
    <row r="122" spans="13:31">
      <c r="M122" s="215" t="s">
        <v>505</v>
      </c>
      <c r="N122" s="503" t="s">
        <v>29</v>
      </c>
      <c r="O122" s="447" t="s">
        <v>279</v>
      </c>
      <c r="P122" s="506" t="s">
        <v>4</v>
      </c>
      <c r="Q122" s="148" t="s">
        <v>195</v>
      </c>
      <c r="R122" s="148" t="s">
        <v>202</v>
      </c>
      <c r="S122" s="217">
        <f t="shared" ca="1" si="23"/>
        <v>36471.33</v>
      </c>
      <c r="T122" s="140">
        <f t="shared" ca="1" si="24"/>
        <v>36094.426805309413</v>
      </c>
      <c r="U122" s="140">
        <f t="shared" si="25"/>
        <v>5873</v>
      </c>
      <c r="Z122" s="1"/>
    </row>
    <row r="123" spans="13:31">
      <c r="M123" s="215" t="s">
        <v>505</v>
      </c>
      <c r="N123" s="503" t="s">
        <v>29</v>
      </c>
      <c r="O123" s="447" t="s">
        <v>279</v>
      </c>
      <c r="P123" s="506" t="s">
        <v>4</v>
      </c>
      <c r="Q123" s="148" t="s">
        <v>195</v>
      </c>
      <c r="R123" s="64" t="s">
        <v>6</v>
      </c>
      <c r="S123" s="217">
        <f t="shared" ca="1" si="23"/>
        <v>149837.9115521558</v>
      </c>
      <c r="T123" s="140">
        <f t="shared" ca="1" si="24"/>
        <v>148166.94568951393</v>
      </c>
      <c r="U123" s="140">
        <f>SUMIFS(S$8:S$39,P$8:P$39,P123,Q$8:Q$39,Q123,R$8:R$39,"kWh*")</f>
        <v>2291099.5650176727</v>
      </c>
      <c r="W123" s="312"/>
      <c r="Z123" s="1"/>
    </row>
    <row r="124" spans="13:31">
      <c r="M124" s="215" t="s">
        <v>505</v>
      </c>
      <c r="N124" s="503" t="s">
        <v>29</v>
      </c>
      <c r="O124" s="447" t="s">
        <v>279</v>
      </c>
      <c r="P124" s="506" t="s">
        <v>4</v>
      </c>
      <c r="Q124" s="148" t="s">
        <v>195</v>
      </c>
      <c r="R124" s="148" t="s">
        <v>201</v>
      </c>
      <c r="S124" s="217">
        <f t="shared" si="23"/>
        <v>0</v>
      </c>
      <c r="T124" s="140">
        <f t="shared" si="24"/>
        <v>0</v>
      </c>
      <c r="U124" s="140">
        <f t="shared" ref="U124:U134" si="26">SUMIFS(S$8:S$39,P$8:P$39,P124,Q$8:Q$39,Q124,R$8:R$39,R124)</f>
        <v>0</v>
      </c>
      <c r="W124" s="312"/>
      <c r="Z124" s="1"/>
    </row>
    <row r="125" spans="13:31">
      <c r="M125" s="215" t="s">
        <v>505</v>
      </c>
      <c r="N125" s="503" t="s">
        <v>29</v>
      </c>
      <c r="O125" s="447" t="s">
        <v>279</v>
      </c>
      <c r="P125" s="506" t="s">
        <v>4</v>
      </c>
      <c r="Q125" s="148" t="s">
        <v>195</v>
      </c>
      <c r="R125" s="148" t="s">
        <v>367</v>
      </c>
      <c r="S125" s="217">
        <f t="shared" si="23"/>
        <v>0</v>
      </c>
      <c r="T125" s="140">
        <f t="shared" si="24"/>
        <v>0</v>
      </c>
      <c r="U125" s="140">
        <f t="shared" si="26"/>
        <v>0</v>
      </c>
      <c r="Z125" s="1"/>
    </row>
    <row r="126" spans="13:31">
      <c r="M126" s="215" t="s">
        <v>505</v>
      </c>
      <c r="N126" s="503" t="s">
        <v>29</v>
      </c>
      <c r="O126" s="447" t="s">
        <v>279</v>
      </c>
      <c r="P126" s="506" t="s">
        <v>4</v>
      </c>
      <c r="Q126" s="148" t="s">
        <v>195</v>
      </c>
      <c r="R126" s="148" t="s">
        <v>358</v>
      </c>
      <c r="S126" s="217">
        <f t="shared" si="23"/>
        <v>0</v>
      </c>
      <c r="T126" s="140">
        <f t="shared" si="24"/>
        <v>0</v>
      </c>
      <c r="U126" s="140">
        <f t="shared" si="26"/>
        <v>0</v>
      </c>
      <c r="Z126" s="1"/>
    </row>
    <row r="127" spans="13:31">
      <c r="M127" s="215" t="s">
        <v>505</v>
      </c>
      <c r="N127" s="503" t="s">
        <v>29</v>
      </c>
      <c r="O127" s="447" t="s">
        <v>279</v>
      </c>
      <c r="P127" s="506" t="s">
        <v>4</v>
      </c>
      <c r="Q127" s="148" t="s">
        <v>195</v>
      </c>
      <c r="R127" s="148" t="s">
        <v>368</v>
      </c>
      <c r="S127" s="217">
        <f t="shared" si="23"/>
        <v>0</v>
      </c>
      <c r="T127" s="140">
        <f t="shared" si="24"/>
        <v>0</v>
      </c>
      <c r="U127" s="140">
        <f t="shared" si="26"/>
        <v>0</v>
      </c>
      <c r="Z127" s="1"/>
    </row>
    <row r="128" spans="13:31">
      <c r="M128" s="215" t="s">
        <v>505</v>
      </c>
      <c r="N128" s="503" t="s">
        <v>29</v>
      </c>
      <c r="O128" s="447" t="s">
        <v>279</v>
      </c>
      <c r="P128" s="506" t="s">
        <v>4</v>
      </c>
      <c r="Q128" s="100" t="s">
        <v>195</v>
      </c>
      <c r="R128" s="215" t="s">
        <v>168</v>
      </c>
      <c r="S128" s="217">
        <f t="shared" si="23"/>
        <v>6831.3392740641229</v>
      </c>
      <c r="T128" s="140">
        <f t="shared" si="24"/>
        <v>6831.3392740641229</v>
      </c>
      <c r="U128" s="140">
        <f t="shared" si="26"/>
        <v>0</v>
      </c>
      <c r="Z128" s="1"/>
    </row>
    <row r="129" spans="13:26">
      <c r="M129" s="215" t="s">
        <v>505</v>
      </c>
      <c r="N129" s="503" t="s">
        <v>29</v>
      </c>
      <c r="O129" s="447" t="s">
        <v>279</v>
      </c>
      <c r="P129" s="507" t="s">
        <v>5</v>
      </c>
      <c r="Q129" s="148" t="s">
        <v>203</v>
      </c>
      <c r="R129" s="148" t="s">
        <v>335</v>
      </c>
      <c r="S129" s="217">
        <f t="shared" ca="1" si="23"/>
        <v>55746.574212419364</v>
      </c>
      <c r="T129" s="140">
        <f t="shared" ca="1" si="24"/>
        <v>55127.495424040855</v>
      </c>
      <c r="U129" s="140">
        <f t="shared" si="26"/>
        <v>231.48648041034534</v>
      </c>
      <c r="Z129" s="1"/>
    </row>
    <row r="130" spans="13:26">
      <c r="M130" s="215" t="s">
        <v>505</v>
      </c>
      <c r="N130" s="503" t="s">
        <v>29</v>
      </c>
      <c r="O130" s="447" t="s">
        <v>279</v>
      </c>
      <c r="P130" s="507" t="s">
        <v>5</v>
      </c>
      <c r="Q130" s="148" t="s">
        <v>284</v>
      </c>
      <c r="R130" s="148" t="s">
        <v>335</v>
      </c>
      <c r="S130" s="217">
        <f t="shared" ca="1" si="23"/>
        <v>722795.75506545324</v>
      </c>
      <c r="T130" s="140">
        <f t="shared" ca="1" si="24"/>
        <v>714749.15205174405</v>
      </c>
      <c r="U130" s="140">
        <f t="shared" si="26"/>
        <v>8003.4963466443714</v>
      </c>
      <c r="Z130" s="1"/>
    </row>
    <row r="131" spans="13:26">
      <c r="M131" s="215" t="s">
        <v>505</v>
      </c>
      <c r="N131" s="503" t="s">
        <v>29</v>
      </c>
      <c r="O131" s="447" t="s">
        <v>279</v>
      </c>
      <c r="P131" s="507" t="s">
        <v>5</v>
      </c>
      <c r="Q131" s="148" t="s">
        <v>204</v>
      </c>
      <c r="R131" s="148" t="s">
        <v>335</v>
      </c>
      <c r="S131" s="217">
        <f t="shared" ca="1" si="23"/>
        <v>613916.79694789054</v>
      </c>
      <c r="T131" s="140">
        <f t="shared" ca="1" si="24"/>
        <v>607112.46145500429</v>
      </c>
      <c r="U131" s="140">
        <f t="shared" si="26"/>
        <v>3417.4838396119494</v>
      </c>
      <c r="Z131" s="1"/>
    </row>
    <row r="132" spans="13:26">
      <c r="M132" s="215" t="s">
        <v>505</v>
      </c>
      <c r="N132" s="503" t="s">
        <v>29</v>
      </c>
      <c r="O132" s="447" t="s">
        <v>279</v>
      </c>
      <c r="P132" s="507" t="s">
        <v>5</v>
      </c>
      <c r="Q132" s="148" t="s">
        <v>284</v>
      </c>
      <c r="R132" s="148" t="s">
        <v>281</v>
      </c>
      <c r="S132" s="217">
        <f t="shared" ca="1" si="23"/>
        <v>3612451.3533333335</v>
      </c>
      <c r="T132" s="140">
        <f t="shared" ca="1" si="24"/>
        <v>3566330.5643522036</v>
      </c>
      <c r="U132" s="140">
        <f t="shared" si="26"/>
        <v>1389404.3666666667</v>
      </c>
      <c r="Z132" s="1"/>
    </row>
    <row r="133" spans="13:26">
      <c r="M133" s="215" t="s">
        <v>505</v>
      </c>
      <c r="N133" s="503" t="s">
        <v>29</v>
      </c>
      <c r="O133" s="447" t="s">
        <v>279</v>
      </c>
      <c r="P133" s="507" t="s">
        <v>5</v>
      </c>
      <c r="Q133" s="148" t="s">
        <v>204</v>
      </c>
      <c r="R133" s="148" t="s">
        <v>281</v>
      </c>
      <c r="S133" s="217">
        <f t="shared" ca="1" si="23"/>
        <v>3598822.7230405402</v>
      </c>
      <c r="T133" s="140">
        <f t="shared" ca="1" si="24"/>
        <v>3565849.3976756111</v>
      </c>
      <c r="U133" s="140">
        <f t="shared" si="26"/>
        <v>1689588.1328828828</v>
      </c>
      <c r="Z133" s="1"/>
    </row>
    <row r="134" spans="13:26">
      <c r="M134" s="215" t="s">
        <v>505</v>
      </c>
      <c r="N134" s="503" t="s">
        <v>29</v>
      </c>
      <c r="O134" s="447" t="s">
        <v>279</v>
      </c>
      <c r="P134" s="507" t="s">
        <v>5</v>
      </c>
      <c r="Q134" s="148" t="s">
        <v>195</v>
      </c>
      <c r="R134" s="148" t="s">
        <v>202</v>
      </c>
      <c r="S134" s="217">
        <f t="shared" ca="1" si="23"/>
        <v>14083612.425000001</v>
      </c>
      <c r="T134" s="140">
        <f t="shared" ca="1" si="24"/>
        <v>13938069.103279445</v>
      </c>
      <c r="U134" s="140">
        <f t="shared" si="26"/>
        <v>2267892.5</v>
      </c>
      <c r="Z134" s="1"/>
    </row>
    <row r="135" spans="13:26">
      <c r="M135" s="215" t="s">
        <v>505</v>
      </c>
      <c r="N135" s="503" t="s">
        <v>29</v>
      </c>
      <c r="O135" s="447" t="s">
        <v>279</v>
      </c>
      <c r="P135" s="507" t="s">
        <v>5</v>
      </c>
      <c r="Q135" s="148" t="s">
        <v>195</v>
      </c>
      <c r="R135" s="64" t="s">
        <v>6</v>
      </c>
      <c r="S135" s="217">
        <f t="shared" ca="1" si="23"/>
        <v>54718853.431737497</v>
      </c>
      <c r="T135" s="140">
        <f t="shared" ca="1" si="24"/>
        <v>54108638.46557714</v>
      </c>
      <c r="U135" s="140">
        <f>SUMIFS(S$8:S$39,P$8:P$39,P135,Q$8:Q$39,Q135,R$8:R$39,"kWh*")</f>
        <v>836679716.08161306</v>
      </c>
      <c r="Z135" s="1"/>
    </row>
    <row r="136" spans="13:26">
      <c r="M136" s="215" t="s">
        <v>505</v>
      </c>
      <c r="N136" s="503" t="s">
        <v>29</v>
      </c>
      <c r="O136" s="447" t="s">
        <v>279</v>
      </c>
      <c r="P136" s="507" t="s">
        <v>5</v>
      </c>
      <c r="Q136" s="148" t="s">
        <v>195</v>
      </c>
      <c r="R136" s="148" t="s">
        <v>201</v>
      </c>
      <c r="S136" s="217">
        <f t="shared" si="23"/>
        <v>190315.56758620689</v>
      </c>
      <c r="T136" s="140">
        <f t="shared" si="24"/>
        <v>187089.88000000003</v>
      </c>
      <c r="U136" s="140">
        <f t="shared" ref="U136:U146" si="27">SUMIFS(S$8:S$39,P$8:P$39,P136,Q$8:Q$39,Q136,R$8:R$39,R136)</f>
        <v>322568.75862068968</v>
      </c>
      <c r="Z136" s="1"/>
    </row>
    <row r="137" spans="13:26">
      <c r="M137" s="215" t="s">
        <v>505</v>
      </c>
      <c r="N137" s="503" t="s">
        <v>29</v>
      </c>
      <c r="O137" s="447" t="s">
        <v>279</v>
      </c>
      <c r="P137" s="507" t="s">
        <v>5</v>
      </c>
      <c r="Q137" s="148" t="s">
        <v>195</v>
      </c>
      <c r="R137" s="148" t="s">
        <v>367</v>
      </c>
      <c r="S137" s="217">
        <f t="shared" si="23"/>
        <v>-9070.42</v>
      </c>
      <c r="T137" s="140">
        <f t="shared" si="24"/>
        <v>-9070.42</v>
      </c>
      <c r="U137" s="140">
        <f t="shared" si="27"/>
        <v>907042</v>
      </c>
      <c r="Z137" s="1"/>
    </row>
    <row r="138" spans="13:26">
      <c r="M138" s="215" t="s">
        <v>505</v>
      </c>
      <c r="N138" s="503" t="s">
        <v>29</v>
      </c>
      <c r="O138" s="447" t="s">
        <v>279</v>
      </c>
      <c r="P138" s="507" t="s">
        <v>5</v>
      </c>
      <c r="Q138" s="148" t="s">
        <v>195</v>
      </c>
      <c r="R138" s="148" t="s">
        <v>358</v>
      </c>
      <c r="S138" s="217">
        <f t="shared" si="23"/>
        <v>-13342.199999999999</v>
      </c>
      <c r="T138" s="140">
        <f t="shared" si="24"/>
        <v>-13342.199999999999</v>
      </c>
      <c r="U138" s="140">
        <f t="shared" si="27"/>
        <v>44474</v>
      </c>
      <c r="Z138" s="1"/>
    </row>
    <row r="139" spans="13:26">
      <c r="M139" s="215" t="s">
        <v>505</v>
      </c>
      <c r="N139" s="503" t="s">
        <v>29</v>
      </c>
      <c r="O139" s="447" t="s">
        <v>279</v>
      </c>
      <c r="P139" s="507" t="s">
        <v>5</v>
      </c>
      <c r="Q139" s="148" t="s">
        <v>195</v>
      </c>
      <c r="R139" s="148" t="s">
        <v>368</v>
      </c>
      <c r="S139" s="217">
        <f t="shared" si="23"/>
        <v>6480</v>
      </c>
      <c r="T139" s="140">
        <f t="shared" si="24"/>
        <v>6480</v>
      </c>
      <c r="U139" s="140">
        <f t="shared" si="27"/>
        <v>108</v>
      </c>
      <c r="Z139" s="1"/>
    </row>
    <row r="140" spans="13:26">
      <c r="M140" s="215" t="s">
        <v>505</v>
      </c>
      <c r="N140" s="503" t="s">
        <v>29</v>
      </c>
      <c r="O140" s="447" t="s">
        <v>279</v>
      </c>
      <c r="P140" s="507" t="s">
        <v>5</v>
      </c>
      <c r="Q140" s="100" t="s">
        <v>195</v>
      </c>
      <c r="R140" s="215" t="s">
        <v>168</v>
      </c>
      <c r="S140" s="217">
        <f t="shared" si="23"/>
        <v>1072849.6731901476</v>
      </c>
      <c r="T140" s="140">
        <f t="shared" si="24"/>
        <v>1072849.6731901476</v>
      </c>
      <c r="U140" s="140">
        <f t="shared" si="27"/>
        <v>0</v>
      </c>
      <c r="Z140" s="1"/>
    </row>
    <row r="141" spans="13:26">
      <c r="M141" s="215" t="s">
        <v>505</v>
      </c>
      <c r="N141" s="503" t="s">
        <v>29</v>
      </c>
      <c r="O141" s="447" t="s">
        <v>279</v>
      </c>
      <c r="P141" s="506" t="s">
        <v>7</v>
      </c>
      <c r="Q141" s="148" t="s">
        <v>203</v>
      </c>
      <c r="R141" s="148" t="s">
        <v>335</v>
      </c>
      <c r="S141" s="217">
        <f t="shared" ca="1" si="23"/>
        <v>11262.348666666667</v>
      </c>
      <c r="T141" s="140">
        <f t="shared" ca="1" si="24"/>
        <v>11137.277641848374</v>
      </c>
      <c r="U141" s="140">
        <f t="shared" si="27"/>
        <v>46.766666666666666</v>
      </c>
      <c r="Z141" s="1"/>
    </row>
    <row r="142" spans="13:26">
      <c r="M142" s="215" t="s">
        <v>505</v>
      </c>
      <c r="N142" s="503" t="s">
        <v>29</v>
      </c>
      <c r="O142" s="447" t="s">
        <v>279</v>
      </c>
      <c r="P142" s="506" t="s">
        <v>7</v>
      </c>
      <c r="Q142" s="148" t="s">
        <v>284</v>
      </c>
      <c r="R142" s="148" t="s">
        <v>335</v>
      </c>
      <c r="S142" s="217">
        <f t="shared" ca="1" si="23"/>
        <v>58755.686000000002</v>
      </c>
      <c r="T142" s="140">
        <f t="shared" ca="1" si="24"/>
        <v>58101.581881752471</v>
      </c>
      <c r="U142" s="140">
        <f t="shared" si="27"/>
        <v>650.6</v>
      </c>
      <c r="Z142" s="1"/>
    </row>
    <row r="143" spans="13:26">
      <c r="M143" s="215" t="s">
        <v>505</v>
      </c>
      <c r="N143" s="503" t="s">
        <v>29</v>
      </c>
      <c r="O143" s="447" t="s">
        <v>279</v>
      </c>
      <c r="P143" s="506" t="s">
        <v>7</v>
      </c>
      <c r="Q143" s="148" t="s">
        <v>204</v>
      </c>
      <c r="R143" s="148" t="s">
        <v>335</v>
      </c>
      <c r="S143" s="217">
        <f t="shared" ca="1" si="23"/>
        <v>81017.64</v>
      </c>
      <c r="T143" s="140">
        <f t="shared" ca="1" si="24"/>
        <v>80119.682481745825</v>
      </c>
      <c r="U143" s="140">
        <f t="shared" si="27"/>
        <v>451</v>
      </c>
      <c r="Z143" s="1"/>
    </row>
    <row r="144" spans="13:26">
      <c r="M144" s="215" t="s">
        <v>505</v>
      </c>
      <c r="N144" s="503" t="s">
        <v>29</v>
      </c>
      <c r="O144" s="447" t="s">
        <v>279</v>
      </c>
      <c r="P144" s="506" t="s">
        <v>7</v>
      </c>
      <c r="Q144" s="148" t="s">
        <v>284</v>
      </c>
      <c r="R144" s="148" t="s">
        <v>281</v>
      </c>
      <c r="S144" s="217">
        <f t="shared" ca="1" si="23"/>
        <v>306073.73333333334</v>
      </c>
      <c r="T144" s="140">
        <f t="shared" ca="1" si="24"/>
        <v>302166.03723253804</v>
      </c>
      <c r="U144" s="140">
        <f t="shared" si="27"/>
        <v>117720.66666666666</v>
      </c>
      <c r="Z144" s="1"/>
    </row>
    <row r="145" spans="13:26">
      <c r="M145" s="215" t="s">
        <v>505</v>
      </c>
      <c r="N145" s="503" t="s">
        <v>29</v>
      </c>
      <c r="O145" s="447" t="s">
        <v>279</v>
      </c>
      <c r="P145" s="506" t="s">
        <v>7</v>
      </c>
      <c r="Q145" s="148" t="s">
        <v>204</v>
      </c>
      <c r="R145" s="148" t="s">
        <v>281</v>
      </c>
      <c r="S145" s="217">
        <f t="shared" ca="1" si="23"/>
        <v>534532.02</v>
      </c>
      <c r="T145" s="140">
        <f t="shared" ca="1" si="24"/>
        <v>529634.50223659608</v>
      </c>
      <c r="U145" s="140">
        <f t="shared" si="27"/>
        <v>250954</v>
      </c>
      <c r="Z145" s="1"/>
    </row>
    <row r="146" spans="13:26">
      <c r="M146" s="215" t="s">
        <v>505</v>
      </c>
      <c r="N146" s="503" t="s">
        <v>29</v>
      </c>
      <c r="O146" s="447" t="s">
        <v>279</v>
      </c>
      <c r="P146" s="506" t="s">
        <v>7</v>
      </c>
      <c r="Q146" s="148" t="s">
        <v>195</v>
      </c>
      <c r="R146" s="148" t="s">
        <v>202</v>
      </c>
      <c r="S146" s="217">
        <f t="shared" ca="1" si="23"/>
        <v>1778399.7209999999</v>
      </c>
      <c r="T146" s="140">
        <f t="shared" ca="1" si="24"/>
        <v>1760021.3252496463</v>
      </c>
      <c r="U146" s="140">
        <f t="shared" si="27"/>
        <v>286376.76666666666</v>
      </c>
      <c r="Z146" s="1"/>
    </row>
    <row r="147" spans="13:26">
      <c r="M147" s="215" t="s">
        <v>505</v>
      </c>
      <c r="N147" s="503" t="s">
        <v>29</v>
      </c>
      <c r="O147" s="447" t="s">
        <v>279</v>
      </c>
      <c r="P147" s="506" t="s">
        <v>7</v>
      </c>
      <c r="Q147" s="148" t="s">
        <v>195</v>
      </c>
      <c r="R147" s="64" t="s">
        <v>6</v>
      </c>
      <c r="S147" s="217">
        <f t="shared" ca="1" si="23"/>
        <v>5717818.3289871663</v>
      </c>
      <c r="T147" s="140">
        <f t="shared" ca="1" si="24"/>
        <v>5654054.2312527969</v>
      </c>
      <c r="U147" s="140">
        <f>SUMIFS(S$8:S$39,P$8:P$39,P147,Q$8:Q$39,Q147,R$8:R$39,"kWh*")</f>
        <v>87428414.816317528</v>
      </c>
      <c r="Z147" s="1"/>
    </row>
    <row r="148" spans="13:26">
      <c r="M148" s="215" t="s">
        <v>505</v>
      </c>
      <c r="N148" s="503" t="s">
        <v>29</v>
      </c>
      <c r="O148" s="447" t="s">
        <v>279</v>
      </c>
      <c r="P148" s="506" t="s">
        <v>7</v>
      </c>
      <c r="Q148" s="148" t="s">
        <v>195</v>
      </c>
      <c r="R148" s="148" t="s">
        <v>201</v>
      </c>
      <c r="S148" s="217">
        <f t="shared" si="23"/>
        <v>48031.157413793102</v>
      </c>
      <c r="T148" s="140">
        <f t="shared" si="24"/>
        <v>47217.070000000007</v>
      </c>
      <c r="U148" s="140">
        <f>SUMIFS(S$8:S$39,P$8:P$39,P148,Q$8:Q$39,Q148,R$8:R$39,R148)</f>
        <v>81408.741379310348</v>
      </c>
      <c r="Z148" s="1"/>
    </row>
    <row r="149" spans="13:26">
      <c r="M149" s="215" t="s">
        <v>505</v>
      </c>
      <c r="N149" s="503" t="s">
        <v>29</v>
      </c>
      <c r="O149" s="447" t="s">
        <v>279</v>
      </c>
      <c r="P149" s="506" t="s">
        <v>7</v>
      </c>
      <c r="Q149" s="148" t="s">
        <v>195</v>
      </c>
      <c r="R149" s="148" t="s">
        <v>367</v>
      </c>
      <c r="S149" s="217">
        <f t="shared" si="23"/>
        <v>-184.39000000000001</v>
      </c>
      <c r="T149" s="140">
        <f t="shared" si="24"/>
        <v>-184.39000000000001</v>
      </c>
      <c r="U149" s="140">
        <f>SUMIFS(S$8:S$39,P$8:P$39,P149,Q$8:Q$39,Q149,R$8:R$39,R149)</f>
        <v>18439</v>
      </c>
      <c r="Z149" s="1"/>
    </row>
    <row r="150" spans="13:26">
      <c r="M150" s="215" t="s">
        <v>505</v>
      </c>
      <c r="N150" s="503" t="s">
        <v>29</v>
      </c>
      <c r="O150" s="447" t="s">
        <v>279</v>
      </c>
      <c r="P150" s="506" t="s">
        <v>7</v>
      </c>
      <c r="Q150" s="148" t="s">
        <v>195</v>
      </c>
      <c r="R150" s="148" t="s">
        <v>358</v>
      </c>
      <c r="S150" s="217">
        <f t="shared" si="23"/>
        <v>-256.5</v>
      </c>
      <c r="T150" s="140">
        <f t="shared" si="24"/>
        <v>-256.5</v>
      </c>
      <c r="U150" s="140">
        <f>SUMIFS(S$8:S$39,P$8:P$39,P150,Q$8:Q$39,Q150,R$8:R$39,R150)</f>
        <v>855</v>
      </c>
      <c r="Z150" s="1"/>
    </row>
    <row r="151" spans="13:26">
      <c r="M151" s="215" t="s">
        <v>505</v>
      </c>
      <c r="N151" s="503" t="s">
        <v>29</v>
      </c>
      <c r="O151" s="447" t="s">
        <v>279</v>
      </c>
      <c r="P151" s="506" t="s">
        <v>7</v>
      </c>
      <c r="Q151" s="148" t="s">
        <v>195</v>
      </c>
      <c r="R151" s="148" t="s">
        <v>368</v>
      </c>
      <c r="S151" s="217">
        <f t="shared" si="23"/>
        <v>600</v>
      </c>
      <c r="T151" s="140">
        <f t="shared" si="24"/>
        <v>600</v>
      </c>
      <c r="U151" s="140">
        <f>SUMIFS(S$8:S$39,P$8:P$39,P151,Q$8:Q$39,Q151,R$8:R$39,R151)</f>
        <v>10</v>
      </c>
      <c r="Z151" s="1"/>
    </row>
    <row r="152" spans="13:26">
      <c r="M152" s="216" t="s">
        <v>505</v>
      </c>
      <c r="N152" s="504" t="s">
        <v>29</v>
      </c>
      <c r="O152" s="448" t="s">
        <v>279</v>
      </c>
      <c r="P152" s="508" t="s">
        <v>7</v>
      </c>
      <c r="Q152" s="152" t="s">
        <v>195</v>
      </c>
      <c r="R152" s="216" t="s">
        <v>168</v>
      </c>
      <c r="S152" s="218">
        <f t="shared" si="23"/>
        <v>158606.6540112104</v>
      </c>
      <c r="T152" s="140">
        <f t="shared" si="24"/>
        <v>158606.6540112104</v>
      </c>
      <c r="U152" s="140">
        <f>SUMIFS(S$8:S$39,P$8:P$39,P152,Q$8:Q$39,Q152,R$8:R$39,R152)</f>
        <v>0</v>
      </c>
      <c r="Z152" s="1"/>
    </row>
    <row r="153" spans="13:26">
      <c r="M153" s="350" t="s">
        <v>540</v>
      </c>
      <c r="N153" s="264" t="s">
        <v>29</v>
      </c>
      <c r="O153" s="144" t="s">
        <v>279</v>
      </c>
      <c r="P153" s="219" t="s">
        <v>195</v>
      </c>
      <c r="Q153" s="219" t="s">
        <v>195</v>
      </c>
      <c r="R153" s="219" t="s">
        <v>195</v>
      </c>
      <c r="S153" s="220">
        <f ca="1">'Cost of Service and Proposed $'!W123</f>
        <v>694106.91335082683</v>
      </c>
      <c r="Z153" s="1"/>
    </row>
    <row r="154" spans="13:26">
      <c r="M154" s="227" t="s">
        <v>541</v>
      </c>
      <c r="N154" s="90" t="s">
        <v>29</v>
      </c>
      <c r="O154" s="100" t="s">
        <v>279</v>
      </c>
      <c r="P154" s="215" t="s">
        <v>195</v>
      </c>
      <c r="Q154" s="215" t="s">
        <v>195</v>
      </c>
      <c r="R154" s="215" t="s">
        <v>195</v>
      </c>
      <c r="S154" s="217">
        <f ca="1">'Cost of Service and Proposed $'!W124</f>
        <v>30667968.575895347</v>
      </c>
      <c r="Z154" s="1"/>
    </row>
    <row r="155" spans="13:26">
      <c r="M155" s="227" t="s">
        <v>542</v>
      </c>
      <c r="N155" s="90" t="s">
        <v>29</v>
      </c>
      <c r="O155" s="100" t="s">
        <v>279</v>
      </c>
      <c r="P155" s="215" t="s">
        <v>195</v>
      </c>
      <c r="Q155" s="215" t="s">
        <v>195</v>
      </c>
      <c r="R155" s="215" t="s">
        <v>195</v>
      </c>
      <c r="S155" s="217">
        <f ca="1">'Cost of Service and Proposed $'!W125</f>
        <v>9685604.2711726557</v>
      </c>
      <c r="Z155" s="1"/>
    </row>
    <row r="156" spans="13:26">
      <c r="M156" s="337" t="s">
        <v>543</v>
      </c>
      <c r="N156" s="265" t="s">
        <v>29</v>
      </c>
      <c r="O156" s="152" t="s">
        <v>279</v>
      </c>
      <c r="P156" s="216" t="s">
        <v>195</v>
      </c>
      <c r="Q156" s="216" t="s">
        <v>195</v>
      </c>
      <c r="R156" s="216" t="s">
        <v>195</v>
      </c>
      <c r="S156" s="218">
        <f ca="1">'Cost of Service and Proposed $'!W126</f>
        <v>51172425.17539005</v>
      </c>
      <c r="W156" s="143"/>
      <c r="Z156" s="1"/>
    </row>
    <row r="157" spans="13:26">
      <c r="M157" s="449" t="s">
        <v>535</v>
      </c>
      <c r="N157" s="449" t="s">
        <v>29</v>
      </c>
      <c r="O157" s="449" t="s">
        <v>351</v>
      </c>
      <c r="P157" s="219" t="s">
        <v>195</v>
      </c>
      <c r="Q157" s="146" t="s">
        <v>195</v>
      </c>
      <c r="R157" s="146" t="s">
        <v>335</v>
      </c>
      <c r="S157" s="219">
        <f ca="1">(T157*(U157-V157)+V157*100)/100</f>
        <v>1537453.1572827371</v>
      </c>
      <c r="T157" s="236">
        <f>$T$94</f>
        <v>10</v>
      </c>
      <c r="U157" s="140">
        <f ca="1">S153*(1-SUM(U161:U165)/SUM(S153:S156))</f>
        <v>683141.95508902648</v>
      </c>
      <c r="V157" s="140">
        <f ca="1">SUMIFS(S$117:S$152,R$117:R$152,R157)/SUM(S$117:S$123,S$129:S$135,S$141:S$147)*(SUM(S$153:S$156)-SUM(V$161:V$165))</f>
        <v>1632376.6241931494</v>
      </c>
      <c r="Z157" s="1"/>
    </row>
    <row r="158" spans="13:26">
      <c r="M158" s="447" t="s">
        <v>535</v>
      </c>
      <c r="N158" s="447" t="s">
        <v>29</v>
      </c>
      <c r="O158" s="447" t="s">
        <v>351</v>
      </c>
      <c r="P158" s="215" t="s">
        <v>195</v>
      </c>
      <c r="Q158" s="148" t="s">
        <v>195</v>
      </c>
      <c r="R158" s="148" t="s">
        <v>281</v>
      </c>
      <c r="S158" s="215">
        <f t="shared" ref="S158:S165" ca="1" si="28">(T158*(U158-V158)+V158*100)/100</f>
        <v>10674582.406970909</v>
      </c>
      <c r="T158" s="236">
        <f t="shared" ref="T158:T165" si="29">$T$94</f>
        <v>10</v>
      </c>
      <c r="U158" s="140">
        <f ca="1">S154*(1-SUM(U161:U165)/SUM(S153:S156))</f>
        <v>30183499.989081357</v>
      </c>
      <c r="V158" s="140">
        <f t="shared" ref="V158:V160" ca="1" si="30">SUMIFS(S$117:S$152,R$117:R$152,R158)/SUM(S$117:S$123,S$129:S$135,S$141:S$147)*(SUM(S$153:S$156)-SUM(V$161:V$165))</f>
        <v>8506924.8978475258</v>
      </c>
      <c r="Z158" s="1"/>
    </row>
    <row r="159" spans="13:26">
      <c r="M159" s="447" t="s">
        <v>535</v>
      </c>
      <c r="N159" s="447" t="s">
        <v>29</v>
      </c>
      <c r="O159" s="447" t="s">
        <v>351</v>
      </c>
      <c r="P159" s="215" t="s">
        <v>195</v>
      </c>
      <c r="Q159" s="148" t="s">
        <v>195</v>
      </c>
      <c r="R159" s="148" t="s">
        <v>202</v>
      </c>
      <c r="S159" s="215">
        <f t="shared" ca="1" si="28"/>
        <v>16036207.487665353</v>
      </c>
      <c r="T159" s="236">
        <f t="shared" si="29"/>
        <v>10</v>
      </c>
      <c r="U159" s="140">
        <f ca="1">S155*(1-SUM(U161:U165)/SUM(S153:S156))</f>
        <v>9532598.6685328148</v>
      </c>
      <c r="V159" s="140">
        <f t="shared" ca="1" si="30"/>
        <v>16758830.68979119</v>
      </c>
      <c r="Z159" s="1"/>
    </row>
    <row r="160" spans="13:26">
      <c r="M160" s="447" t="s">
        <v>535</v>
      </c>
      <c r="N160" s="447" t="s">
        <v>29</v>
      </c>
      <c r="O160" s="447" t="s">
        <v>351</v>
      </c>
      <c r="P160" s="215" t="s">
        <v>195</v>
      </c>
      <c r="Q160" s="148" t="s">
        <v>195</v>
      </c>
      <c r="R160" s="148" t="s">
        <v>6</v>
      </c>
      <c r="S160" s="215">
        <f t="shared" ca="1" si="28"/>
        <v>62515040.777414456</v>
      </c>
      <c r="T160" s="236">
        <f t="shared" si="29"/>
        <v>10</v>
      </c>
      <c r="U160" s="140">
        <f ca="1">S156*(1-SUM(U161:U165)/SUM(S153:S156))</f>
        <v>50364043.216630265</v>
      </c>
      <c r="V160" s="140">
        <f t="shared" ca="1" si="30"/>
        <v>63865151.617501579</v>
      </c>
      <c r="Z160" s="1"/>
    </row>
    <row r="161" spans="13:26">
      <c r="M161" s="447" t="s">
        <v>535</v>
      </c>
      <c r="N161" s="447" t="s">
        <v>29</v>
      </c>
      <c r="O161" s="447" t="s">
        <v>351</v>
      </c>
      <c r="P161" s="215" t="s">
        <v>195</v>
      </c>
      <c r="Q161" s="148" t="s">
        <v>195</v>
      </c>
      <c r="R161" s="148" t="s">
        <v>201</v>
      </c>
      <c r="S161" s="215">
        <f t="shared" si="28"/>
        <v>234306.95</v>
      </c>
      <c r="T161" s="236">
        <f t="shared" si="29"/>
        <v>10</v>
      </c>
      <c r="U161" s="140">
        <f>SUMIFS($S$55:$S$89,$R$55:$R$89,R161)</f>
        <v>234306.95</v>
      </c>
      <c r="V161" s="140">
        <f>SUMIFS($S$55:$S$89,$R$55:$R$89,R161)</f>
        <v>234306.95</v>
      </c>
      <c r="Z161" s="1"/>
    </row>
    <row r="162" spans="13:26">
      <c r="M162" s="447" t="s">
        <v>535</v>
      </c>
      <c r="N162" s="447" t="s">
        <v>29</v>
      </c>
      <c r="O162" s="447" t="s">
        <v>351</v>
      </c>
      <c r="P162" s="215" t="s">
        <v>195</v>
      </c>
      <c r="Q162" s="148" t="s">
        <v>195</v>
      </c>
      <c r="R162" s="148" t="s">
        <v>367</v>
      </c>
      <c r="S162" s="215">
        <f t="shared" si="28"/>
        <v>-9254.81</v>
      </c>
      <c r="T162" s="236">
        <f t="shared" si="29"/>
        <v>10</v>
      </c>
      <c r="U162" s="140">
        <f t="shared" ref="U162:U165" si="31">SUMIFS($S$55:$S$89,$R$55:$R$89,R162)</f>
        <v>-9254.81</v>
      </c>
      <c r="V162" s="140">
        <f t="shared" ref="V162:V165" si="32">SUMIFS($S$55:$S$89,$R$55:$R$89,R162)</f>
        <v>-9254.81</v>
      </c>
      <c r="Z162" s="1"/>
    </row>
    <row r="163" spans="13:26">
      <c r="M163" s="447" t="s">
        <v>535</v>
      </c>
      <c r="N163" s="447" t="s">
        <v>29</v>
      </c>
      <c r="O163" s="447" t="s">
        <v>351</v>
      </c>
      <c r="P163" s="215" t="s">
        <v>195</v>
      </c>
      <c r="Q163" s="148" t="s">
        <v>195</v>
      </c>
      <c r="R163" s="148" t="s">
        <v>358</v>
      </c>
      <c r="S163" s="215">
        <f t="shared" si="28"/>
        <v>-13598.7</v>
      </c>
      <c r="T163" s="236">
        <f t="shared" si="29"/>
        <v>10</v>
      </c>
      <c r="U163" s="140">
        <f t="shared" si="31"/>
        <v>-13598.699999999999</v>
      </c>
      <c r="V163" s="140">
        <f t="shared" si="32"/>
        <v>-13598.699999999999</v>
      </c>
      <c r="Z163" s="1"/>
    </row>
    <row r="164" spans="13:26">
      <c r="M164" s="447" t="s">
        <v>535</v>
      </c>
      <c r="N164" s="447" t="s">
        <v>29</v>
      </c>
      <c r="O164" s="447" t="s">
        <v>351</v>
      </c>
      <c r="P164" s="215" t="s">
        <v>195</v>
      </c>
      <c r="Q164" s="148" t="s">
        <v>195</v>
      </c>
      <c r="R164" s="148" t="s">
        <v>368</v>
      </c>
      <c r="S164" s="215">
        <f t="shared" si="28"/>
        <v>7080</v>
      </c>
      <c r="T164" s="236">
        <f t="shared" si="29"/>
        <v>10</v>
      </c>
      <c r="U164" s="140">
        <f t="shared" si="31"/>
        <v>7080</v>
      </c>
      <c r="V164" s="140">
        <f t="shared" si="32"/>
        <v>7080</v>
      </c>
      <c r="Z164" s="1"/>
    </row>
    <row r="165" spans="13:26">
      <c r="M165" s="448" t="s">
        <v>535</v>
      </c>
      <c r="N165" s="448" t="s">
        <v>29</v>
      </c>
      <c r="O165" s="448" t="s">
        <v>351</v>
      </c>
      <c r="P165" s="216" t="s">
        <v>195</v>
      </c>
      <c r="Q165" s="152" t="s">
        <v>195</v>
      </c>
      <c r="R165" s="216" t="s">
        <v>168</v>
      </c>
      <c r="S165" s="216">
        <f t="shared" si="28"/>
        <v>1238287.6664754222</v>
      </c>
      <c r="T165" s="236">
        <f t="shared" si="29"/>
        <v>10</v>
      </c>
      <c r="U165" s="140">
        <f t="shared" si="31"/>
        <v>1238287.6664754222</v>
      </c>
      <c r="V165" s="140">
        <f t="shared" si="32"/>
        <v>1238287.6664754222</v>
      </c>
      <c r="Z165" s="1"/>
    </row>
    <row r="166" spans="13:26">
      <c r="M166" s="219" t="s">
        <v>506</v>
      </c>
      <c r="N166" s="219" t="s">
        <v>403</v>
      </c>
      <c r="O166" s="449" t="s">
        <v>351</v>
      </c>
      <c r="P166" s="219" t="s">
        <v>195</v>
      </c>
      <c r="Q166" s="146" t="s">
        <v>203</v>
      </c>
      <c r="R166" s="146" t="s">
        <v>335</v>
      </c>
      <c r="S166" s="323">
        <f ca="1">ROUND(T166/100*W166*X166/Y166/Z166,U166)</f>
        <v>241.72</v>
      </c>
      <c r="T166" s="236">
        <f>100+Summary!$R$10</f>
        <v>101.1</v>
      </c>
      <c r="U166" s="140">
        <v>2</v>
      </c>
      <c r="V166" s="311">
        <f ca="1">W166*X166/Y166/Z166</f>
        <v>239.09037397491986</v>
      </c>
      <c r="W166" s="4">
        <f ca="1">SUMIFS(S$157:S$165,R$157:R$165,R166)</f>
        <v>1537453.1572827371</v>
      </c>
      <c r="X166" s="140">
        <f ca="1">SUMIFS(S$117:S$152,Q$117:Q$152,Q166,R$117:R$152,R166)</f>
        <v>67490.562879086036</v>
      </c>
      <c r="Y166" s="140">
        <f t="shared" ref="Y166:Y176" ca="1" si="33">SUMIFS(S$117:S$152,R$117:R$152,R166)</f>
        <v>1548575.39089243</v>
      </c>
      <c r="Z166" s="140">
        <f>SUMIFS(S$8:S$39,Q$8:Q$39,Q166,R$8:R$39,R166)</f>
        <v>280.25314707701199</v>
      </c>
    </row>
    <row r="167" spans="13:26">
      <c r="M167" s="215" t="s">
        <v>506</v>
      </c>
      <c r="N167" s="215" t="s">
        <v>403</v>
      </c>
      <c r="O167" s="447" t="s">
        <v>351</v>
      </c>
      <c r="P167" s="215" t="s">
        <v>195</v>
      </c>
      <c r="Q167" s="148" t="s">
        <v>284</v>
      </c>
      <c r="R167" s="148" t="s">
        <v>335</v>
      </c>
      <c r="S167" s="324">
        <f t="shared" ref="S167:S176" ca="1" si="34">ROUND(T167/100*W167*X167/Y167/Z167,U167)</f>
        <v>90.65</v>
      </c>
      <c r="T167" s="236">
        <f>100+Summary!$R$10</f>
        <v>101.1</v>
      </c>
      <c r="U167" s="140">
        <v>2</v>
      </c>
      <c r="V167" s="311">
        <f t="shared" ref="V167:V177" ca="1" si="35">W167*X167/Y167/Z167</f>
        <v>89.661372285005442</v>
      </c>
      <c r="W167" s="4">
        <f t="shared" ref="W167:W176" ca="1" si="36">SUMIFS(S$157:S$165,R$157:R$165,R167)</f>
        <v>1537453.1572827371</v>
      </c>
      <c r="X167" s="140">
        <f ca="1">SUMIFS(S$117:S$152,Q$117:Q$152,Q167,R$117:R$152,R167)</f>
        <v>784892.9110654532</v>
      </c>
      <c r="Y167" s="140">
        <f t="shared" ca="1" si="33"/>
        <v>1548575.39089243</v>
      </c>
      <c r="Z167" s="140">
        <f t="shared" ref="Z167:Z176" si="37">SUMIFS(S$8:S$39,Q$8:Q$39,Q167,R$8:R$39,R167)</f>
        <v>8691.0963466443718</v>
      </c>
    </row>
    <row r="168" spans="13:26">
      <c r="M168" s="215" t="s">
        <v>506</v>
      </c>
      <c r="N168" s="215" t="s">
        <v>403</v>
      </c>
      <c r="O168" s="447" t="s">
        <v>351</v>
      </c>
      <c r="P168" s="215" t="s">
        <v>195</v>
      </c>
      <c r="Q168" s="148" t="s">
        <v>204</v>
      </c>
      <c r="R168" s="148" t="s">
        <v>335</v>
      </c>
      <c r="S168" s="324">
        <f t="shared" ca="1" si="34"/>
        <v>180.31</v>
      </c>
      <c r="T168" s="236">
        <f>100+Summary!$R$10</f>
        <v>101.1</v>
      </c>
      <c r="U168" s="140">
        <v>2</v>
      </c>
      <c r="V168" s="311">
        <f t="shared" ca="1" si="35"/>
        <v>178.34978316109374</v>
      </c>
      <c r="W168" s="4">
        <f t="shared" ca="1" si="36"/>
        <v>1537453.1572827371</v>
      </c>
      <c r="X168" s="140">
        <f ca="1">SUMIFS(S$117:S$152,Q$117:Q$152,Q168,R$117:R$152,R168)</f>
        <v>696191.91694789054</v>
      </c>
      <c r="Y168" s="140">
        <f t="shared" ca="1" si="33"/>
        <v>1548575.39089243</v>
      </c>
      <c r="Z168" s="140">
        <f t="shared" si="37"/>
        <v>3875.4838396119494</v>
      </c>
    </row>
    <row r="169" spans="13:26">
      <c r="M169" s="215" t="s">
        <v>506</v>
      </c>
      <c r="N169" s="215" t="s">
        <v>403</v>
      </c>
      <c r="O169" s="447" t="s">
        <v>351</v>
      </c>
      <c r="P169" s="215" t="s">
        <v>195</v>
      </c>
      <c r="Q169" s="148" t="s">
        <v>284</v>
      </c>
      <c r="R169" s="148" t="s">
        <v>281</v>
      </c>
      <c r="S169" s="324">
        <f t="shared" ca="1" si="34"/>
        <v>3.48</v>
      </c>
      <c r="T169" s="236">
        <f>100+Summary!$R$10</f>
        <v>101.1</v>
      </c>
      <c r="U169" s="140">
        <v>2</v>
      </c>
      <c r="V169" s="311">
        <f t="shared" ca="1" si="35"/>
        <v>3.4390592419710719</v>
      </c>
      <c r="W169" s="4">
        <f t="shared" ca="1" si="36"/>
        <v>10674582.406970909</v>
      </c>
      <c r="X169" s="140">
        <f t="shared" ref="X169:X176" ca="1" si="38">SUMIFS(S$117:S$152,Q$117:Q$152,Q169,R$117:R$152,R169)</f>
        <v>3932234.8866666667</v>
      </c>
      <c r="Y169" s="140">
        <f t="shared" ca="1" si="33"/>
        <v>8070205.3397072069</v>
      </c>
      <c r="Z169" s="140">
        <f t="shared" si="37"/>
        <v>1512398.0333333334</v>
      </c>
    </row>
    <row r="170" spans="13:26">
      <c r="M170" s="215" t="s">
        <v>506</v>
      </c>
      <c r="N170" s="215" t="s">
        <v>403</v>
      </c>
      <c r="O170" s="447" t="s">
        <v>351</v>
      </c>
      <c r="P170" s="215" t="s">
        <v>195</v>
      </c>
      <c r="Q170" s="148" t="s">
        <v>204</v>
      </c>
      <c r="R170" s="148" t="s">
        <v>281</v>
      </c>
      <c r="S170" s="324">
        <f t="shared" ca="1" si="34"/>
        <v>2.85</v>
      </c>
      <c r="T170" s="236">
        <f>100+Summary!$R$10</f>
        <v>101.1</v>
      </c>
      <c r="U170" s="140">
        <v>2</v>
      </c>
      <c r="V170" s="311">
        <f t="shared" ca="1" si="35"/>
        <v>2.8173831482301472</v>
      </c>
      <c r="W170" s="4">
        <f t="shared" ca="1" si="36"/>
        <v>10674582.406970909</v>
      </c>
      <c r="X170" s="140">
        <f t="shared" ca="1" si="38"/>
        <v>4137970.4530405402</v>
      </c>
      <c r="Y170" s="140">
        <f t="shared" ca="1" si="33"/>
        <v>8070205.3397072069</v>
      </c>
      <c r="Z170" s="140">
        <f t="shared" si="37"/>
        <v>1942709.1328828828</v>
      </c>
    </row>
    <row r="171" spans="13:26">
      <c r="M171" s="215" t="s">
        <v>506</v>
      </c>
      <c r="N171" s="215" t="s">
        <v>403</v>
      </c>
      <c r="O171" s="447" t="s">
        <v>351</v>
      </c>
      <c r="P171" s="215" t="s">
        <v>195</v>
      </c>
      <c r="Q171" s="148" t="s">
        <v>195</v>
      </c>
      <c r="R171" s="148" t="s">
        <v>202</v>
      </c>
      <c r="S171" s="324">
        <f t="shared" ca="1" si="34"/>
        <v>6.33</v>
      </c>
      <c r="T171" s="236">
        <f>100+Summary!$R$10</f>
        <v>101.1</v>
      </c>
      <c r="U171" s="140">
        <v>2</v>
      </c>
      <c r="V171" s="311">
        <f t="shared" ca="1" si="35"/>
        <v>6.2637954524865807</v>
      </c>
      <c r="W171" s="4">
        <f t="shared" ca="1" si="36"/>
        <v>16036207.487665353</v>
      </c>
      <c r="X171" s="140">
        <f t="shared" ca="1" si="38"/>
        <v>15898483.476</v>
      </c>
      <c r="Y171" s="140">
        <f t="shared" ca="1" si="33"/>
        <v>15898483.476</v>
      </c>
      <c r="Z171" s="140">
        <f t="shared" si="37"/>
        <v>2560142.2666666666</v>
      </c>
    </row>
    <row r="172" spans="13:26">
      <c r="M172" s="215" t="s">
        <v>506</v>
      </c>
      <c r="N172" s="215" t="s">
        <v>403</v>
      </c>
      <c r="O172" s="447" t="s">
        <v>351</v>
      </c>
      <c r="P172" s="215" t="s">
        <v>195</v>
      </c>
      <c r="Q172" s="148" t="s">
        <v>195</v>
      </c>
      <c r="R172" s="64" t="s">
        <v>6</v>
      </c>
      <c r="S172" s="324">
        <f t="shared" ca="1" si="34"/>
        <v>6.8220000000000003E-2</v>
      </c>
      <c r="T172" s="236">
        <f>100+Summary!$R$10</f>
        <v>101.1</v>
      </c>
      <c r="U172" s="140">
        <v>5</v>
      </c>
      <c r="V172" s="311">
        <f t="shared" ca="1" si="35"/>
        <v>6.7481749467963079E-2</v>
      </c>
      <c r="W172" s="4">
        <f t="shared" ca="1" si="36"/>
        <v>62515040.777414456</v>
      </c>
      <c r="X172" s="140">
        <f t="shared" ca="1" si="38"/>
        <v>60586509.672276817</v>
      </c>
      <c r="Y172" s="140">
        <f t="shared" ca="1" si="33"/>
        <v>60586509.672276817</v>
      </c>
      <c r="Z172" s="140">
        <f>SUMIFS(S$8:S$39,Q$8:Q$39,Q172,R$8:R$39,"kWh*")</f>
        <v>926399230.4629482</v>
      </c>
    </row>
    <row r="173" spans="13:26">
      <c r="M173" s="215" t="s">
        <v>506</v>
      </c>
      <c r="N173" s="215" t="s">
        <v>403</v>
      </c>
      <c r="O173" s="447" t="s">
        <v>351</v>
      </c>
      <c r="P173" s="215" t="s">
        <v>195</v>
      </c>
      <c r="Q173" s="148" t="s">
        <v>195</v>
      </c>
      <c r="R173" s="148" t="s">
        <v>201</v>
      </c>
      <c r="S173" s="324">
        <f t="shared" si="34"/>
        <v>0.59</v>
      </c>
      <c r="T173" s="236">
        <f>100+Summary!$R$10</f>
        <v>101.1</v>
      </c>
      <c r="U173" s="140">
        <v>2</v>
      </c>
      <c r="V173" s="311">
        <f t="shared" si="35"/>
        <v>0.58000000000000007</v>
      </c>
      <c r="W173" s="4">
        <f t="shared" si="36"/>
        <v>234306.95</v>
      </c>
      <c r="X173" s="140">
        <f t="shared" si="38"/>
        <v>238346.72499999998</v>
      </c>
      <c r="Y173" s="140">
        <f t="shared" si="33"/>
        <v>238346.72499999998</v>
      </c>
      <c r="Z173" s="140">
        <f t="shared" si="37"/>
        <v>403977.5</v>
      </c>
    </row>
    <row r="174" spans="13:26">
      <c r="M174" s="215" t="s">
        <v>506</v>
      </c>
      <c r="N174" s="215" t="s">
        <v>403</v>
      </c>
      <c r="O174" s="447" t="s">
        <v>351</v>
      </c>
      <c r="P174" s="215" t="s">
        <v>195</v>
      </c>
      <c r="Q174" s="148" t="s">
        <v>195</v>
      </c>
      <c r="R174" s="148" t="s">
        <v>367</v>
      </c>
      <c r="S174" s="324">
        <f t="shared" si="34"/>
        <v>-0.01</v>
      </c>
      <c r="T174" s="518">
        <v>100</v>
      </c>
      <c r="U174" s="140">
        <v>2</v>
      </c>
      <c r="V174" s="311">
        <f t="shared" si="35"/>
        <v>-0.01</v>
      </c>
      <c r="W174" s="4">
        <f t="shared" si="36"/>
        <v>-9254.81</v>
      </c>
      <c r="X174" s="140">
        <f t="shared" si="38"/>
        <v>-9254.81</v>
      </c>
      <c r="Y174" s="140">
        <f t="shared" si="33"/>
        <v>-9254.81</v>
      </c>
      <c r="Z174" s="140">
        <f t="shared" si="37"/>
        <v>925481</v>
      </c>
    </row>
    <row r="175" spans="13:26">
      <c r="M175" s="215" t="s">
        <v>506</v>
      </c>
      <c r="N175" s="215" t="s">
        <v>403</v>
      </c>
      <c r="O175" s="447" t="s">
        <v>351</v>
      </c>
      <c r="P175" s="215" t="s">
        <v>195</v>
      </c>
      <c r="Q175" s="148" t="s">
        <v>195</v>
      </c>
      <c r="R175" s="148" t="s">
        <v>358</v>
      </c>
      <c r="S175" s="324">
        <f t="shared" si="34"/>
        <v>-0.3</v>
      </c>
      <c r="T175" s="518">
        <v>100</v>
      </c>
      <c r="U175" s="140">
        <v>2</v>
      </c>
      <c r="V175" s="311">
        <f t="shared" si="35"/>
        <v>-0.3</v>
      </c>
      <c r="W175" s="4">
        <f t="shared" si="36"/>
        <v>-13598.7</v>
      </c>
      <c r="X175" s="140">
        <f t="shared" si="38"/>
        <v>-13598.699999999999</v>
      </c>
      <c r="Y175" s="140">
        <f t="shared" si="33"/>
        <v>-13598.699999999999</v>
      </c>
      <c r="Z175" s="140">
        <f t="shared" si="37"/>
        <v>45329</v>
      </c>
    </row>
    <row r="176" spans="13:26">
      <c r="M176" s="215" t="s">
        <v>506</v>
      </c>
      <c r="N176" s="215" t="s">
        <v>403</v>
      </c>
      <c r="O176" s="447" t="s">
        <v>351</v>
      </c>
      <c r="P176" s="215" t="s">
        <v>195</v>
      </c>
      <c r="Q176" s="148" t="s">
        <v>195</v>
      </c>
      <c r="R176" s="148" t="s">
        <v>368</v>
      </c>
      <c r="S176" s="324">
        <f t="shared" si="34"/>
        <v>60</v>
      </c>
      <c r="T176" s="518">
        <v>100</v>
      </c>
      <c r="U176" s="140">
        <v>2</v>
      </c>
      <c r="V176" s="311">
        <f t="shared" si="35"/>
        <v>60</v>
      </c>
      <c r="W176" s="4">
        <f t="shared" si="36"/>
        <v>7080</v>
      </c>
      <c r="X176" s="140">
        <f t="shared" si="38"/>
        <v>7080</v>
      </c>
      <c r="Y176" s="140">
        <f t="shared" si="33"/>
        <v>7080</v>
      </c>
      <c r="Z176" s="140">
        <f t="shared" si="37"/>
        <v>118</v>
      </c>
    </row>
    <row r="177" spans="13:28">
      <c r="M177" s="215" t="s">
        <v>506</v>
      </c>
      <c r="N177" s="215" t="s">
        <v>403</v>
      </c>
      <c r="O177" s="447" t="s">
        <v>489</v>
      </c>
      <c r="P177" s="215" t="s">
        <v>195</v>
      </c>
      <c r="Q177" s="215" t="s">
        <v>195</v>
      </c>
      <c r="R177" s="215" t="s">
        <v>335</v>
      </c>
      <c r="S177" s="324">
        <f ca="1">ROUND(T177/100*W177*X177/Y177/Z177,U177)</f>
        <v>17.59</v>
      </c>
      <c r="T177" s="236">
        <f>100+Summary!$R$10</f>
        <v>101.1</v>
      </c>
      <c r="U177" s="140">
        <v>2</v>
      </c>
      <c r="V177" s="311">
        <f t="shared" ca="1" si="35"/>
        <v>17.396322269633927</v>
      </c>
      <c r="W177" s="4">
        <f ca="1">Sch.24!S183+S157</f>
        <v>4568504.1454267707</v>
      </c>
      <c r="X177" s="27">
        <v>1</v>
      </c>
      <c r="Y177" s="27">
        <v>1</v>
      </c>
      <c r="Z177" s="140">
        <f>Sch.24!Z192+Sch.24!Z194+Z166+Z167+Z168</f>
        <v>262613.2164383562</v>
      </c>
    </row>
    <row r="178" spans="13:28">
      <c r="M178" s="215" t="s">
        <v>506</v>
      </c>
      <c r="N178" s="215" t="s">
        <v>403</v>
      </c>
      <c r="O178" s="447" t="s">
        <v>489</v>
      </c>
      <c r="P178" s="215" t="s">
        <v>195</v>
      </c>
      <c r="Q178" s="215" t="s">
        <v>195</v>
      </c>
      <c r="R178" s="101" t="s">
        <v>197</v>
      </c>
      <c r="S178" s="324">
        <f ca="1">ROUND(T178/100*W178*X178/Y178/Z178,U178)+AA178+AB178</f>
        <v>0.21143000000000001</v>
      </c>
      <c r="T178" s="236">
        <f>100+Summary!$R$10</f>
        <v>101.1</v>
      </c>
      <c r="U178" s="140">
        <v>5</v>
      </c>
      <c r="V178" s="311">
        <f ca="1">W178*X178/Y178/Z178+AA178+AB178</f>
        <v>0.21032985204578761</v>
      </c>
      <c r="W178" s="4">
        <f ca="1">SUM(Sch.24!S184:S190,S158:S164)</f>
        <v>147183014.3188231</v>
      </c>
      <c r="X178" s="4">
        <v>1</v>
      </c>
      <c r="Y178" s="4">
        <v>1</v>
      </c>
      <c r="Z178" s="140">
        <f>Sch.24!Z199+Sch.24!Z201+Z172</f>
        <v>1470508860.8932304</v>
      </c>
      <c r="AA178" s="533">
        <f ca="1">ROUND((S115-S116)*(1-AE115/100),5)</f>
        <v>9.7189999999999999E-2</v>
      </c>
      <c r="AB178" s="344">
        <f>ROUND(0.01866*(1-AE116/100),5)</f>
        <v>1.3050000000000001E-2</v>
      </c>
    </row>
    <row r="179" spans="13:28">
      <c r="M179" s="216" t="s">
        <v>506</v>
      </c>
      <c r="N179" s="216" t="s">
        <v>403</v>
      </c>
      <c r="O179" s="448" t="s">
        <v>489</v>
      </c>
      <c r="P179" s="216" t="s">
        <v>195</v>
      </c>
      <c r="Q179" s="216" t="s">
        <v>195</v>
      </c>
      <c r="R179" s="421" t="s">
        <v>198</v>
      </c>
      <c r="S179" s="325">
        <f ca="1">ROUND(T179/100*W179*X179/Y179/Z179,U179)+AA179+AB179</f>
        <v>9.6710000000000004E-2</v>
      </c>
      <c r="T179" s="236">
        <f>100+Summary!$R$10</f>
        <v>101.1</v>
      </c>
      <c r="U179" s="140">
        <v>5</v>
      </c>
      <c r="V179" s="311">
        <f ca="1">W179*X179/Y179/Z179+AA179+AB179</f>
        <v>9.5609852045787605E-2</v>
      </c>
      <c r="W179" s="4">
        <f ca="1">SUM(Sch.24!S184:S190,S158:S164)</f>
        <v>147183014.3188231</v>
      </c>
      <c r="X179" s="4">
        <v>1</v>
      </c>
      <c r="Y179" s="4">
        <v>1</v>
      </c>
      <c r="Z179" s="140">
        <f>Sch.24!Z199+Sch.24!Z201+Z172</f>
        <v>1470508860.8932304</v>
      </c>
      <c r="AA179" s="533">
        <f ca="1">ROUND((S116-S115)*AE115/100,5)</f>
        <v>-1.753E-2</v>
      </c>
      <c r="AB179" s="344">
        <f>ROUND(0.01866*(1-AE116/100),5)</f>
        <v>1.3050000000000001E-2</v>
      </c>
    </row>
    <row r="180" spans="13:28">
      <c r="M180" s="219" t="s">
        <v>506</v>
      </c>
      <c r="N180" s="219" t="s">
        <v>29</v>
      </c>
      <c r="O180" s="449" t="s">
        <v>279</v>
      </c>
      <c r="P180" s="146" t="s">
        <v>4</v>
      </c>
      <c r="Q180" s="146" t="s">
        <v>203</v>
      </c>
      <c r="R180" s="146" t="s">
        <v>335</v>
      </c>
      <c r="S180" s="220">
        <f t="shared" ref="S180:S215" ca="1" si="39">IF(R180="Unbilled",SUMIFS(S$117:S$152,P$117:P$152,P180,R$117:R$152,R180),SUMIFS(S$166:S$176,Q$166:Q$176,Q180,R$166:R$176,R180)*U180)</f>
        <v>483.44</v>
      </c>
      <c r="T180" s="140">
        <f t="shared" ref="T180:T215" ca="1" si="40">IF(R180="Unbilled",SUMIFS(S$117:S$152,P$117:P$152,P180,R$117:R$152,R180),SUMIFS(V$166:V$176,Q$166:Q$176,Q180,R$166:R$176,R180)*U180)</f>
        <v>478.18074794983971</v>
      </c>
      <c r="U180" s="140">
        <f t="shared" ref="U180:U185" si="41">SUMIFS(S$8:S$39,P$8:P$39,P180,Q$8:Q$39,Q180,R$8:R$39,R180)</f>
        <v>2</v>
      </c>
      <c r="Z180" s="1"/>
    </row>
    <row r="181" spans="13:28">
      <c r="M181" s="215" t="s">
        <v>506</v>
      </c>
      <c r="N181" s="215" t="s">
        <v>29</v>
      </c>
      <c r="O181" s="447" t="s">
        <v>279</v>
      </c>
      <c r="P181" s="148" t="s">
        <v>4</v>
      </c>
      <c r="Q181" s="148" t="s">
        <v>284</v>
      </c>
      <c r="R181" s="148" t="s">
        <v>335</v>
      </c>
      <c r="S181" s="217">
        <f t="shared" ca="1" si="39"/>
        <v>3354.05</v>
      </c>
      <c r="T181" s="140">
        <f t="shared" ca="1" si="40"/>
        <v>3317.4707745452015</v>
      </c>
      <c r="U181" s="140">
        <f t="shared" si="41"/>
        <v>37</v>
      </c>
      <c r="Z181" s="1"/>
    </row>
    <row r="182" spans="13:28">
      <c r="M182" s="215" t="s">
        <v>506</v>
      </c>
      <c r="N182" s="215" t="s">
        <v>29</v>
      </c>
      <c r="O182" s="447" t="s">
        <v>279</v>
      </c>
      <c r="P182" s="148" t="s">
        <v>4</v>
      </c>
      <c r="Q182" s="148" t="s">
        <v>204</v>
      </c>
      <c r="R182" s="148" t="s">
        <v>335</v>
      </c>
      <c r="S182" s="217">
        <f t="shared" ca="1" si="39"/>
        <v>1262.17</v>
      </c>
      <c r="T182" s="140">
        <f t="shared" ca="1" si="40"/>
        <v>1248.4484821276562</v>
      </c>
      <c r="U182" s="140">
        <f t="shared" si="41"/>
        <v>7</v>
      </c>
      <c r="Z182" s="1"/>
    </row>
    <row r="183" spans="13:28">
      <c r="M183" s="215" t="s">
        <v>506</v>
      </c>
      <c r="N183" s="215" t="s">
        <v>29</v>
      </c>
      <c r="O183" s="447" t="s">
        <v>279</v>
      </c>
      <c r="P183" s="148" t="s">
        <v>4</v>
      </c>
      <c r="Q183" s="148" t="s">
        <v>284</v>
      </c>
      <c r="R183" s="148" t="s">
        <v>281</v>
      </c>
      <c r="S183" s="217">
        <f t="shared" ca="1" si="39"/>
        <v>18350.04</v>
      </c>
      <c r="T183" s="140">
        <f t="shared" ca="1" si="40"/>
        <v>18134.159382913462</v>
      </c>
      <c r="U183" s="140">
        <f t="shared" si="41"/>
        <v>5273</v>
      </c>
      <c r="Z183" s="1"/>
    </row>
    <row r="184" spans="13:28">
      <c r="M184" s="215" t="s">
        <v>506</v>
      </c>
      <c r="N184" s="215" t="s">
        <v>29</v>
      </c>
      <c r="O184" s="447" t="s">
        <v>279</v>
      </c>
      <c r="P184" s="148" t="s">
        <v>4</v>
      </c>
      <c r="Q184" s="148" t="s">
        <v>204</v>
      </c>
      <c r="R184" s="148" t="s">
        <v>281</v>
      </c>
      <c r="S184" s="217">
        <f t="shared" ca="1" si="39"/>
        <v>6175.95</v>
      </c>
      <c r="T184" s="140">
        <f t="shared" ca="1" si="40"/>
        <v>6105.2692822147292</v>
      </c>
      <c r="U184" s="140">
        <f t="shared" si="41"/>
        <v>2167</v>
      </c>
      <c r="Z184" s="1"/>
    </row>
    <row r="185" spans="13:28">
      <c r="M185" s="215" t="s">
        <v>506</v>
      </c>
      <c r="N185" s="215" t="s">
        <v>29</v>
      </c>
      <c r="O185" s="447" t="s">
        <v>279</v>
      </c>
      <c r="P185" s="148" t="s">
        <v>4</v>
      </c>
      <c r="Q185" s="148" t="s">
        <v>195</v>
      </c>
      <c r="R185" s="148" t="s">
        <v>202</v>
      </c>
      <c r="S185" s="217">
        <f t="shared" ca="1" si="39"/>
        <v>37176.090000000004</v>
      </c>
      <c r="T185" s="140">
        <f t="shared" ca="1" si="40"/>
        <v>36787.270692453691</v>
      </c>
      <c r="U185" s="140">
        <f t="shared" si="41"/>
        <v>5873</v>
      </c>
      <c r="Z185" s="1"/>
    </row>
    <row r="186" spans="13:28">
      <c r="M186" s="215" t="s">
        <v>506</v>
      </c>
      <c r="N186" s="215" t="s">
        <v>29</v>
      </c>
      <c r="O186" s="447" t="s">
        <v>279</v>
      </c>
      <c r="P186" s="148" t="s">
        <v>4</v>
      </c>
      <c r="Q186" s="148" t="s">
        <v>195</v>
      </c>
      <c r="R186" s="64" t="s">
        <v>6</v>
      </c>
      <c r="S186" s="217">
        <f t="shared" ca="1" si="39"/>
        <v>156298.81232550563</v>
      </c>
      <c r="T186" s="140">
        <f t="shared" ca="1" si="40"/>
        <v>154607.40685268177</v>
      </c>
      <c r="U186" s="140">
        <f>SUMIFS(S$8:S$39,P$8:P$39,P186,Q$8:Q$39,Q186,R$8:R$39,"kWh*")</f>
        <v>2291099.5650176727</v>
      </c>
      <c r="Z186" s="1"/>
    </row>
    <row r="187" spans="13:28">
      <c r="M187" s="215" t="s">
        <v>506</v>
      </c>
      <c r="N187" s="215" t="s">
        <v>29</v>
      </c>
      <c r="O187" s="447" t="s">
        <v>279</v>
      </c>
      <c r="P187" s="148" t="s">
        <v>4</v>
      </c>
      <c r="Q187" s="148" t="s">
        <v>195</v>
      </c>
      <c r="R187" s="148" t="s">
        <v>201</v>
      </c>
      <c r="S187" s="217">
        <f t="shared" si="39"/>
        <v>0</v>
      </c>
      <c r="T187" s="140">
        <f t="shared" si="40"/>
        <v>0</v>
      </c>
      <c r="U187" s="140">
        <f t="shared" ref="U187:U197" si="42">SUMIFS(S$8:S$39,P$8:P$39,P187,Q$8:Q$39,Q187,R$8:R$39,R187)</f>
        <v>0</v>
      </c>
      <c r="Z187" s="1"/>
    </row>
    <row r="188" spans="13:28">
      <c r="M188" s="215" t="s">
        <v>506</v>
      </c>
      <c r="N188" s="215" t="s">
        <v>29</v>
      </c>
      <c r="O188" s="447" t="s">
        <v>279</v>
      </c>
      <c r="P188" s="148" t="s">
        <v>4</v>
      </c>
      <c r="Q188" s="148" t="s">
        <v>195</v>
      </c>
      <c r="R188" s="148" t="s">
        <v>367</v>
      </c>
      <c r="S188" s="217">
        <f t="shared" si="39"/>
        <v>0</v>
      </c>
      <c r="T188" s="140">
        <f t="shared" si="40"/>
        <v>0</v>
      </c>
      <c r="U188" s="140">
        <f t="shared" si="42"/>
        <v>0</v>
      </c>
      <c r="Z188" s="1"/>
    </row>
    <row r="189" spans="13:28">
      <c r="M189" s="215" t="s">
        <v>506</v>
      </c>
      <c r="N189" s="215" t="s">
        <v>29</v>
      </c>
      <c r="O189" s="447" t="s">
        <v>279</v>
      </c>
      <c r="P189" s="148" t="s">
        <v>4</v>
      </c>
      <c r="Q189" s="148" t="s">
        <v>195</v>
      </c>
      <c r="R189" s="148" t="s">
        <v>358</v>
      </c>
      <c r="S189" s="217">
        <f t="shared" si="39"/>
        <v>0</v>
      </c>
      <c r="T189" s="140">
        <f t="shared" si="40"/>
        <v>0</v>
      </c>
      <c r="U189" s="140">
        <f t="shared" si="42"/>
        <v>0</v>
      </c>
      <c r="Z189" s="1"/>
    </row>
    <row r="190" spans="13:28">
      <c r="M190" s="215" t="s">
        <v>506</v>
      </c>
      <c r="N190" s="215" t="s">
        <v>29</v>
      </c>
      <c r="O190" s="447" t="s">
        <v>279</v>
      </c>
      <c r="P190" s="148" t="s">
        <v>4</v>
      </c>
      <c r="Q190" s="148" t="s">
        <v>195</v>
      </c>
      <c r="R190" s="148" t="s">
        <v>368</v>
      </c>
      <c r="S190" s="217">
        <f t="shared" si="39"/>
        <v>0</v>
      </c>
      <c r="T190" s="140">
        <f t="shared" si="40"/>
        <v>0</v>
      </c>
      <c r="U190" s="140">
        <f t="shared" si="42"/>
        <v>0</v>
      </c>
      <c r="Z190" s="1"/>
    </row>
    <row r="191" spans="13:28">
      <c r="M191" s="215" t="s">
        <v>506</v>
      </c>
      <c r="N191" s="215" t="s">
        <v>29</v>
      </c>
      <c r="O191" s="447" t="s">
        <v>279</v>
      </c>
      <c r="P191" s="148" t="s">
        <v>4</v>
      </c>
      <c r="Q191" s="100" t="s">
        <v>195</v>
      </c>
      <c r="R191" s="215" t="s">
        <v>168</v>
      </c>
      <c r="S191" s="217">
        <f t="shared" si="39"/>
        <v>6831.3392740641229</v>
      </c>
      <c r="T191" s="140">
        <f t="shared" si="40"/>
        <v>6831.3392740641229</v>
      </c>
      <c r="U191" s="140">
        <f t="shared" si="42"/>
        <v>0</v>
      </c>
      <c r="Z191" s="1"/>
    </row>
    <row r="192" spans="13:28">
      <c r="M192" s="215" t="s">
        <v>506</v>
      </c>
      <c r="N192" s="215" t="s">
        <v>29</v>
      </c>
      <c r="O192" s="447" t="s">
        <v>279</v>
      </c>
      <c r="P192" s="100" t="s">
        <v>5</v>
      </c>
      <c r="Q192" s="148" t="s">
        <v>203</v>
      </c>
      <c r="R192" s="148" t="s">
        <v>335</v>
      </c>
      <c r="S192" s="217">
        <f t="shared" ca="1" si="39"/>
        <v>55954.912044788674</v>
      </c>
      <c r="T192" s="140">
        <f t="shared" ca="1" si="40"/>
        <v>55346.189171447426</v>
      </c>
      <c r="U192" s="140">
        <f t="shared" si="42"/>
        <v>231.48648041034534</v>
      </c>
      <c r="Z192" s="1"/>
    </row>
    <row r="193" spans="13:26">
      <c r="M193" s="215" t="s">
        <v>506</v>
      </c>
      <c r="N193" s="215" t="s">
        <v>29</v>
      </c>
      <c r="O193" s="447" t="s">
        <v>279</v>
      </c>
      <c r="P193" s="100" t="s">
        <v>5</v>
      </c>
      <c r="Q193" s="148" t="s">
        <v>284</v>
      </c>
      <c r="R193" s="148" t="s">
        <v>335</v>
      </c>
      <c r="S193" s="217">
        <f t="shared" ca="1" si="39"/>
        <v>725516.94382331229</v>
      </c>
      <c r="T193" s="140">
        <f t="shared" ca="1" si="40"/>
        <v>717604.465518162</v>
      </c>
      <c r="U193" s="140">
        <f t="shared" si="42"/>
        <v>8003.4963466443714</v>
      </c>
      <c r="Z193" s="1"/>
    </row>
    <row r="194" spans="13:26">
      <c r="M194" s="215" t="s">
        <v>506</v>
      </c>
      <c r="N194" s="215" t="s">
        <v>29</v>
      </c>
      <c r="O194" s="447" t="s">
        <v>279</v>
      </c>
      <c r="P194" s="100" t="s">
        <v>5</v>
      </c>
      <c r="Q194" s="148" t="s">
        <v>204</v>
      </c>
      <c r="R194" s="148" t="s">
        <v>335</v>
      </c>
      <c r="S194" s="217">
        <f t="shared" ca="1" si="39"/>
        <v>616206.51112043066</v>
      </c>
      <c r="T194" s="140">
        <f t="shared" ca="1" si="40"/>
        <v>609507.50175133324</v>
      </c>
      <c r="U194" s="140">
        <f t="shared" si="42"/>
        <v>3417.4838396119494</v>
      </c>
      <c r="Z194" s="1"/>
    </row>
    <row r="195" spans="13:26">
      <c r="M195" s="215" t="s">
        <v>506</v>
      </c>
      <c r="N195" s="215" t="s">
        <v>29</v>
      </c>
      <c r="O195" s="447" t="s">
        <v>279</v>
      </c>
      <c r="P195" s="100" t="s">
        <v>5</v>
      </c>
      <c r="Q195" s="148" t="s">
        <v>284</v>
      </c>
      <c r="R195" s="148" t="s">
        <v>281</v>
      </c>
      <c r="S195" s="217">
        <f t="shared" ca="1" si="39"/>
        <v>4835127.1960000005</v>
      </c>
      <c r="T195" s="140">
        <f t="shared" ca="1" si="40"/>
        <v>4778243.9280199641</v>
      </c>
      <c r="U195" s="140">
        <f t="shared" si="42"/>
        <v>1389404.3666666667</v>
      </c>
      <c r="Z195" s="1"/>
    </row>
    <row r="196" spans="13:26">
      <c r="M196" s="215" t="s">
        <v>506</v>
      </c>
      <c r="N196" s="215" t="s">
        <v>29</v>
      </c>
      <c r="O196" s="447" t="s">
        <v>279</v>
      </c>
      <c r="P196" s="100" t="s">
        <v>5</v>
      </c>
      <c r="Q196" s="148" t="s">
        <v>204</v>
      </c>
      <c r="R196" s="148" t="s">
        <v>281</v>
      </c>
      <c r="S196" s="217">
        <f t="shared" ca="1" si="39"/>
        <v>4815326.1787162162</v>
      </c>
      <c r="T196" s="140">
        <f t="shared" ca="1" si="40"/>
        <v>4760217.1330338726</v>
      </c>
      <c r="U196" s="140">
        <f t="shared" si="42"/>
        <v>1689588.1328828828</v>
      </c>
      <c r="Z196" s="1"/>
    </row>
    <row r="197" spans="13:26">
      <c r="M197" s="215" t="s">
        <v>506</v>
      </c>
      <c r="N197" s="215" t="s">
        <v>29</v>
      </c>
      <c r="O197" s="447" t="s">
        <v>279</v>
      </c>
      <c r="P197" s="100" t="s">
        <v>5</v>
      </c>
      <c r="Q197" s="148" t="s">
        <v>195</v>
      </c>
      <c r="R197" s="148" t="s">
        <v>202</v>
      </c>
      <c r="S197" s="217">
        <f t="shared" ca="1" si="39"/>
        <v>14355759.525</v>
      </c>
      <c r="T197" s="140">
        <f t="shared" ca="1" si="40"/>
        <v>14205614.728228422</v>
      </c>
      <c r="U197" s="140">
        <f t="shared" si="42"/>
        <v>2267892.5</v>
      </c>
      <c r="Z197" s="1"/>
    </row>
    <row r="198" spans="13:26">
      <c r="M198" s="215" t="s">
        <v>506</v>
      </c>
      <c r="N198" s="215" t="s">
        <v>29</v>
      </c>
      <c r="O198" s="447" t="s">
        <v>279</v>
      </c>
      <c r="P198" s="100" t="s">
        <v>5</v>
      </c>
      <c r="Q198" s="148" t="s">
        <v>195</v>
      </c>
      <c r="R198" s="64" t="s">
        <v>6</v>
      </c>
      <c r="S198" s="217">
        <f t="shared" ca="1" si="39"/>
        <v>57078290.231087647</v>
      </c>
      <c r="T198" s="140">
        <f t="shared" ca="1" si="40"/>
        <v>56460610.985545889</v>
      </c>
      <c r="U198" s="140">
        <f>SUMIFS(S$8:S$39,P$8:P$39,P198,Q$8:Q$39,Q198,R$8:R$39,"kWh*")</f>
        <v>836679716.08161306</v>
      </c>
      <c r="Z198" s="1"/>
    </row>
    <row r="199" spans="13:26">
      <c r="M199" s="215" t="s">
        <v>506</v>
      </c>
      <c r="N199" s="215" t="s">
        <v>29</v>
      </c>
      <c r="O199" s="447" t="s">
        <v>279</v>
      </c>
      <c r="P199" s="100" t="s">
        <v>5</v>
      </c>
      <c r="Q199" s="148" t="s">
        <v>195</v>
      </c>
      <c r="R199" s="148" t="s">
        <v>201</v>
      </c>
      <c r="S199" s="217">
        <f t="shared" si="39"/>
        <v>190315.56758620689</v>
      </c>
      <c r="T199" s="140">
        <f t="shared" si="40"/>
        <v>187089.88000000003</v>
      </c>
      <c r="U199" s="140">
        <f t="shared" ref="U199:U209" si="43">SUMIFS(S$8:S$39,P$8:P$39,P199,Q$8:Q$39,Q199,R$8:R$39,R199)</f>
        <v>322568.75862068968</v>
      </c>
      <c r="Z199" s="1"/>
    </row>
    <row r="200" spans="13:26">
      <c r="M200" s="215" t="s">
        <v>506</v>
      </c>
      <c r="N200" s="215" t="s">
        <v>29</v>
      </c>
      <c r="O200" s="447" t="s">
        <v>279</v>
      </c>
      <c r="P200" s="100" t="s">
        <v>5</v>
      </c>
      <c r="Q200" s="148" t="s">
        <v>195</v>
      </c>
      <c r="R200" s="148" t="s">
        <v>367</v>
      </c>
      <c r="S200" s="217">
        <f t="shared" si="39"/>
        <v>-9070.42</v>
      </c>
      <c r="T200" s="140">
        <f t="shared" si="40"/>
        <v>-9070.42</v>
      </c>
      <c r="U200" s="140">
        <f t="shared" si="43"/>
        <v>907042</v>
      </c>
      <c r="Z200" s="1"/>
    </row>
    <row r="201" spans="13:26">
      <c r="M201" s="215" t="s">
        <v>506</v>
      </c>
      <c r="N201" s="215" t="s">
        <v>29</v>
      </c>
      <c r="O201" s="447" t="s">
        <v>279</v>
      </c>
      <c r="P201" s="100" t="s">
        <v>5</v>
      </c>
      <c r="Q201" s="148" t="s">
        <v>195</v>
      </c>
      <c r="R201" s="148" t="s">
        <v>358</v>
      </c>
      <c r="S201" s="217">
        <f t="shared" si="39"/>
        <v>-13342.199999999999</v>
      </c>
      <c r="T201" s="140">
        <f t="shared" si="40"/>
        <v>-13342.199999999999</v>
      </c>
      <c r="U201" s="140">
        <f t="shared" si="43"/>
        <v>44474</v>
      </c>
      <c r="Z201" s="1"/>
    </row>
    <row r="202" spans="13:26">
      <c r="M202" s="215" t="s">
        <v>506</v>
      </c>
      <c r="N202" s="215" t="s">
        <v>29</v>
      </c>
      <c r="O202" s="447" t="s">
        <v>279</v>
      </c>
      <c r="P202" s="100" t="s">
        <v>5</v>
      </c>
      <c r="Q202" s="148" t="s">
        <v>195</v>
      </c>
      <c r="R202" s="148" t="s">
        <v>368</v>
      </c>
      <c r="S202" s="217">
        <f t="shared" si="39"/>
        <v>6480</v>
      </c>
      <c r="T202" s="140">
        <f t="shared" si="40"/>
        <v>6480</v>
      </c>
      <c r="U202" s="140">
        <f t="shared" si="43"/>
        <v>108</v>
      </c>
      <c r="Z202" s="1"/>
    </row>
    <row r="203" spans="13:26">
      <c r="M203" s="215" t="s">
        <v>506</v>
      </c>
      <c r="N203" s="215" t="s">
        <v>29</v>
      </c>
      <c r="O203" s="447" t="s">
        <v>279</v>
      </c>
      <c r="P203" s="100" t="s">
        <v>5</v>
      </c>
      <c r="Q203" s="100" t="s">
        <v>195</v>
      </c>
      <c r="R203" s="215" t="s">
        <v>168</v>
      </c>
      <c r="S203" s="217">
        <f t="shared" si="39"/>
        <v>1072849.6731901476</v>
      </c>
      <c r="T203" s="140">
        <f t="shared" si="40"/>
        <v>1072849.6731901476</v>
      </c>
      <c r="U203" s="140">
        <f t="shared" si="43"/>
        <v>0</v>
      </c>
      <c r="Z203" s="1"/>
    </row>
    <row r="204" spans="13:26">
      <c r="M204" s="215" t="s">
        <v>506</v>
      </c>
      <c r="N204" s="215" t="s">
        <v>29</v>
      </c>
      <c r="O204" s="447" t="s">
        <v>279</v>
      </c>
      <c r="P204" s="148" t="s">
        <v>7</v>
      </c>
      <c r="Q204" s="148" t="s">
        <v>203</v>
      </c>
      <c r="R204" s="148" t="s">
        <v>335</v>
      </c>
      <c r="S204" s="217">
        <f t="shared" ca="1" si="39"/>
        <v>11304.438666666667</v>
      </c>
      <c r="T204" s="140">
        <f t="shared" ca="1" si="40"/>
        <v>11181.459822893752</v>
      </c>
      <c r="U204" s="140">
        <f t="shared" si="43"/>
        <v>46.766666666666666</v>
      </c>
      <c r="Z204" s="1"/>
    </row>
    <row r="205" spans="13:26">
      <c r="M205" s="215" t="s">
        <v>506</v>
      </c>
      <c r="N205" s="215" t="s">
        <v>29</v>
      </c>
      <c r="O205" s="447" t="s">
        <v>279</v>
      </c>
      <c r="P205" s="148" t="s">
        <v>7</v>
      </c>
      <c r="Q205" s="148" t="s">
        <v>284</v>
      </c>
      <c r="R205" s="148" t="s">
        <v>335</v>
      </c>
      <c r="S205" s="217">
        <f t="shared" ca="1" si="39"/>
        <v>58976.890000000007</v>
      </c>
      <c r="T205" s="140">
        <f t="shared" ca="1" si="40"/>
        <v>58333.688808624545</v>
      </c>
      <c r="U205" s="140">
        <f t="shared" si="43"/>
        <v>650.6</v>
      </c>
      <c r="Z205" s="1"/>
    </row>
    <row r="206" spans="13:26">
      <c r="M206" s="215" t="s">
        <v>506</v>
      </c>
      <c r="N206" s="215" t="s">
        <v>29</v>
      </c>
      <c r="O206" s="447" t="s">
        <v>279</v>
      </c>
      <c r="P206" s="148" t="s">
        <v>7</v>
      </c>
      <c r="Q206" s="148" t="s">
        <v>204</v>
      </c>
      <c r="R206" s="148" t="s">
        <v>335</v>
      </c>
      <c r="S206" s="217">
        <f t="shared" ca="1" si="39"/>
        <v>81319.81</v>
      </c>
      <c r="T206" s="140">
        <f t="shared" ca="1" si="40"/>
        <v>80435.752205653276</v>
      </c>
      <c r="U206" s="140">
        <f t="shared" si="43"/>
        <v>451</v>
      </c>
      <c r="Z206" s="1"/>
    </row>
    <row r="207" spans="13:26">
      <c r="M207" s="215" t="s">
        <v>506</v>
      </c>
      <c r="N207" s="215" t="s">
        <v>29</v>
      </c>
      <c r="O207" s="447" t="s">
        <v>279</v>
      </c>
      <c r="P207" s="148" t="s">
        <v>7</v>
      </c>
      <c r="Q207" s="148" t="s">
        <v>284</v>
      </c>
      <c r="R207" s="148" t="s">
        <v>281</v>
      </c>
      <c r="S207" s="217">
        <f t="shared" ca="1" si="39"/>
        <v>409667.92</v>
      </c>
      <c r="T207" s="140">
        <f t="shared" ca="1" si="40"/>
        <v>404848.34667099587</v>
      </c>
      <c r="U207" s="140">
        <f t="shared" si="43"/>
        <v>117720.66666666666</v>
      </c>
      <c r="Z207" s="1"/>
    </row>
    <row r="208" spans="13:26">
      <c r="M208" s="215" t="s">
        <v>506</v>
      </c>
      <c r="N208" s="215" t="s">
        <v>29</v>
      </c>
      <c r="O208" s="447" t="s">
        <v>279</v>
      </c>
      <c r="P208" s="148" t="s">
        <v>7</v>
      </c>
      <c r="Q208" s="148" t="s">
        <v>204</v>
      </c>
      <c r="R208" s="148" t="s">
        <v>281</v>
      </c>
      <c r="S208" s="217">
        <f t="shared" ca="1" si="39"/>
        <v>715218.9</v>
      </c>
      <c r="T208" s="140">
        <f t="shared" ca="1" si="40"/>
        <v>707033.57058094838</v>
      </c>
      <c r="U208" s="140">
        <f t="shared" si="43"/>
        <v>250954</v>
      </c>
      <c r="Z208" s="1"/>
    </row>
    <row r="209" spans="13:26">
      <c r="M209" s="215" t="s">
        <v>506</v>
      </c>
      <c r="N209" s="215" t="s">
        <v>29</v>
      </c>
      <c r="O209" s="447" t="s">
        <v>279</v>
      </c>
      <c r="P209" s="148" t="s">
        <v>7</v>
      </c>
      <c r="Q209" s="148" t="s">
        <v>195</v>
      </c>
      <c r="R209" s="148" t="s">
        <v>202</v>
      </c>
      <c r="S209" s="217">
        <f t="shared" ca="1" si="39"/>
        <v>1812764.933</v>
      </c>
      <c r="T209" s="140">
        <f t="shared" ca="1" si="40"/>
        <v>1793805.4887444773</v>
      </c>
      <c r="U209" s="140">
        <f t="shared" si="43"/>
        <v>286376.76666666666</v>
      </c>
      <c r="Z209" s="1"/>
    </row>
    <row r="210" spans="13:26">
      <c r="M210" s="215" t="s">
        <v>506</v>
      </c>
      <c r="N210" s="215" t="s">
        <v>29</v>
      </c>
      <c r="O210" s="447" t="s">
        <v>279</v>
      </c>
      <c r="P210" s="148" t="s">
        <v>7</v>
      </c>
      <c r="Q210" s="148" t="s">
        <v>195</v>
      </c>
      <c r="R210" s="64" t="s">
        <v>6</v>
      </c>
      <c r="S210" s="217">
        <f t="shared" ca="1" si="39"/>
        <v>5964366.4587691817</v>
      </c>
      <c r="T210" s="140">
        <f t="shared" ca="1" si="40"/>
        <v>5899822.3850158909</v>
      </c>
      <c r="U210" s="140">
        <f>SUMIFS(S$8:S$39,P$8:P$39,P210,Q$8:Q$39,Q210,R$8:R$39,"kWh*")</f>
        <v>87428414.816317528</v>
      </c>
      <c r="Z210" s="1"/>
    </row>
    <row r="211" spans="13:26">
      <c r="M211" s="215" t="s">
        <v>506</v>
      </c>
      <c r="N211" s="215" t="s">
        <v>29</v>
      </c>
      <c r="O211" s="447" t="s">
        <v>279</v>
      </c>
      <c r="P211" s="148" t="s">
        <v>7</v>
      </c>
      <c r="Q211" s="148" t="s">
        <v>195</v>
      </c>
      <c r="R211" s="148" t="s">
        <v>201</v>
      </c>
      <c r="S211" s="217">
        <f t="shared" si="39"/>
        <v>48031.157413793102</v>
      </c>
      <c r="T211" s="140">
        <f t="shared" si="40"/>
        <v>47217.070000000007</v>
      </c>
      <c r="U211" s="140">
        <f>SUMIFS(S$8:S$39,P$8:P$39,P211,Q$8:Q$39,Q211,R$8:R$39,R211)</f>
        <v>81408.741379310348</v>
      </c>
      <c r="Z211" s="1"/>
    </row>
    <row r="212" spans="13:26">
      <c r="M212" s="215" t="s">
        <v>506</v>
      </c>
      <c r="N212" s="215" t="s">
        <v>29</v>
      </c>
      <c r="O212" s="447" t="s">
        <v>279</v>
      </c>
      <c r="P212" s="148" t="s">
        <v>7</v>
      </c>
      <c r="Q212" s="148" t="s">
        <v>195</v>
      </c>
      <c r="R212" s="148" t="s">
        <v>367</v>
      </c>
      <c r="S212" s="217">
        <f t="shared" si="39"/>
        <v>-184.39000000000001</v>
      </c>
      <c r="T212" s="140">
        <f t="shared" si="40"/>
        <v>-184.39000000000001</v>
      </c>
      <c r="U212" s="140">
        <f>SUMIFS(S$8:S$39,P$8:P$39,P212,Q$8:Q$39,Q212,R$8:R$39,R212)</f>
        <v>18439</v>
      </c>
      <c r="Z212" s="1"/>
    </row>
    <row r="213" spans="13:26">
      <c r="M213" s="215" t="s">
        <v>506</v>
      </c>
      <c r="N213" s="215" t="s">
        <v>29</v>
      </c>
      <c r="O213" s="447" t="s">
        <v>279</v>
      </c>
      <c r="P213" s="148" t="s">
        <v>7</v>
      </c>
      <c r="Q213" s="148" t="s">
        <v>195</v>
      </c>
      <c r="R213" s="148" t="s">
        <v>358</v>
      </c>
      <c r="S213" s="217">
        <f t="shared" si="39"/>
        <v>-256.5</v>
      </c>
      <c r="T213" s="140">
        <f t="shared" si="40"/>
        <v>-256.5</v>
      </c>
      <c r="U213" s="140">
        <f>SUMIFS(S$8:S$39,P$8:P$39,P213,Q$8:Q$39,Q213,R$8:R$39,R213)</f>
        <v>855</v>
      </c>
      <c r="Z213" s="1"/>
    </row>
    <row r="214" spans="13:26">
      <c r="M214" s="215" t="s">
        <v>506</v>
      </c>
      <c r="N214" s="215" t="s">
        <v>29</v>
      </c>
      <c r="O214" s="447" t="s">
        <v>279</v>
      </c>
      <c r="P214" s="148" t="s">
        <v>7</v>
      </c>
      <c r="Q214" s="148" t="s">
        <v>195</v>
      </c>
      <c r="R214" s="148" t="s">
        <v>368</v>
      </c>
      <c r="S214" s="217">
        <f t="shared" si="39"/>
        <v>600</v>
      </c>
      <c r="T214" s="140">
        <f t="shared" si="40"/>
        <v>600</v>
      </c>
      <c r="U214" s="140">
        <f>SUMIFS(S$8:S$39,P$8:P$39,P214,Q$8:Q$39,Q214,R$8:R$39,R214)</f>
        <v>10</v>
      </c>
      <c r="Z214" s="1"/>
    </row>
    <row r="215" spans="13:26">
      <c r="M215" s="216" t="s">
        <v>506</v>
      </c>
      <c r="N215" s="216" t="s">
        <v>29</v>
      </c>
      <c r="O215" s="448" t="s">
        <v>279</v>
      </c>
      <c r="P215" s="151" t="s">
        <v>7</v>
      </c>
      <c r="Q215" s="152" t="s">
        <v>195</v>
      </c>
      <c r="R215" s="216" t="s">
        <v>168</v>
      </c>
      <c r="S215" s="218">
        <f t="shared" si="39"/>
        <v>158606.6540112104</v>
      </c>
      <c r="T215" s="140">
        <f t="shared" si="40"/>
        <v>158606.6540112104</v>
      </c>
      <c r="U215" s="140">
        <f>SUMIFS(S$8:S$39,P$8:P$39,P215,Q$8:Q$39,Q215,R$8:R$39,R215)</f>
        <v>0</v>
      </c>
      <c r="Z215" s="1"/>
    </row>
    <row r="216" spans="13:26">
      <c r="Z216" s="1"/>
    </row>
    <row r="217" spans="13:26">
      <c r="S217" s="561" t="s">
        <v>215</v>
      </c>
      <c r="T217" s="441"/>
      <c r="Z217" s="1"/>
    </row>
    <row r="218" spans="13:26">
      <c r="S218" s="562" t="s">
        <v>501</v>
      </c>
      <c r="T218" s="560">
        <f ca="1">SUM(T117:T152)-SUM(S90:S93)</f>
        <v>0</v>
      </c>
      <c r="Z218" s="1"/>
    </row>
    <row r="219" spans="13:26">
      <c r="S219" s="563" t="s">
        <v>503</v>
      </c>
      <c r="T219" s="548">
        <f ca="1">SUM(T180:T215)-SUM(S153:S156)</f>
        <v>0</v>
      </c>
      <c r="Z219" s="1"/>
    </row>
    <row r="220" spans="13:26">
      <c r="Z220" s="1"/>
    </row>
  </sheetData>
  <phoneticPr fontId="46" type="noConversion"/>
  <printOptions horizontalCentered="1"/>
  <pageMargins left="0.2" right="0.2" top="0.2" bottom="0.2" header="0" footer="0"/>
  <pageSetup scale="86" fitToHeight="0" orientation="landscape" r:id="rId1"/>
  <rowBreaks count="6" manualBreakCount="6">
    <brk id="39" min="12" max="18" man="1"/>
    <brk id="54" min="12" max="18" man="1"/>
    <brk id="89" min="12" max="18" man="1"/>
    <brk id="116" min="12" max="18" man="1"/>
    <brk id="152" min="12" max="18" man="1"/>
    <brk id="179" min="12" max="18" man="1"/>
  </rowBreaks>
  <ignoredErrors>
    <ignoredError sqref="X109:Z111 U210 U123:U14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9624C-10F6-422E-90EF-5A7D8C6E967E}">
  <sheetPr>
    <pageSetUpPr fitToPage="1"/>
  </sheetPr>
  <dimension ref="A1:AE219"/>
  <sheetViews>
    <sheetView showGridLines="0" view="pageBreakPreview" zoomScale="70" zoomScaleNormal="70" zoomScaleSheetLayoutView="70" workbookViewId="0">
      <pane ySplit="7" topLeftCell="A8" activePane="bottomLeft" state="frozen"/>
      <selection activeCell="G59" sqref="G59"/>
      <selection pane="bottomLeft" activeCell="A8" sqref="A8"/>
    </sheetView>
  </sheetViews>
  <sheetFormatPr defaultRowHeight="15.75"/>
  <cols>
    <col min="1" max="1" width="13.75" style="140" bestFit="1" customWidth="1"/>
    <col min="2" max="2" width="7.25" style="140" bestFit="1" customWidth="1"/>
    <col min="3" max="3" width="6.75" style="140" bestFit="1" customWidth="1"/>
    <col min="4" max="5" width="7.5" style="140" bestFit="1" customWidth="1"/>
    <col min="6" max="6" width="9.625" style="1" bestFit="1" customWidth="1"/>
    <col min="7" max="13" width="10.25" style="1" customWidth="1"/>
    <col min="14" max="14" width="57.375" style="157" customWidth="1"/>
    <col min="15" max="15" width="7.125" style="157" bestFit="1" customWidth="1"/>
    <col min="16" max="16" width="12.625" style="157" bestFit="1" customWidth="1"/>
    <col min="17" max="17" width="13.75" style="157" bestFit="1" customWidth="1"/>
    <col min="18" max="18" width="10.5" style="157" bestFit="1" customWidth="1"/>
    <col min="19" max="19" width="15.125" style="157" bestFit="1" customWidth="1"/>
    <col min="20" max="20" width="13.375" style="158" bestFit="1" customWidth="1"/>
    <col min="21" max="21" width="13.375" style="158" customWidth="1"/>
    <col min="22" max="23" width="13.375" style="81" customWidth="1"/>
    <col min="24" max="24" width="13.375" style="158" customWidth="1"/>
    <col min="25" max="31" width="13.375" style="1" customWidth="1"/>
    <col min="32" max="16384" width="9" style="1"/>
  </cols>
  <sheetData>
    <row r="1" spans="1:24">
      <c r="A1" s="384" t="s">
        <v>172</v>
      </c>
      <c r="B1" s="385"/>
      <c r="C1" s="385"/>
      <c r="D1" s="385"/>
      <c r="E1" s="385"/>
      <c r="F1" s="379"/>
      <c r="G1" s="379"/>
      <c r="H1" s="379"/>
      <c r="I1" s="379"/>
      <c r="J1" s="379"/>
      <c r="K1" s="379"/>
      <c r="L1" s="379"/>
      <c r="M1" s="380"/>
    </row>
    <row r="2" spans="1:24">
      <c r="A2" s="387" t="s">
        <v>484</v>
      </c>
      <c r="B2" s="343"/>
      <c r="C2" s="343"/>
      <c r="D2" s="343"/>
      <c r="E2" s="343"/>
      <c r="F2" s="377"/>
      <c r="G2" s="377"/>
      <c r="H2" s="377"/>
      <c r="I2" s="377"/>
      <c r="J2" s="377"/>
      <c r="K2" s="377"/>
      <c r="L2" s="377"/>
      <c r="M2" s="381"/>
    </row>
    <row r="3" spans="1:24">
      <c r="A3" s="387" t="s">
        <v>508</v>
      </c>
      <c r="B3" s="343"/>
      <c r="C3" s="343"/>
      <c r="D3" s="343"/>
      <c r="E3" s="343"/>
      <c r="F3" s="382"/>
      <c r="G3" s="382"/>
      <c r="H3" s="382"/>
      <c r="I3" s="382"/>
      <c r="J3" s="382"/>
      <c r="K3" s="382"/>
      <c r="L3" s="382"/>
      <c r="M3" s="383"/>
    </row>
    <row r="4" spans="1:24">
      <c r="A4" s="437"/>
      <c r="B4" s="437"/>
      <c r="C4" s="437"/>
      <c r="D4" s="437"/>
      <c r="E4" s="437"/>
      <c r="F4" s="516" t="s">
        <v>622</v>
      </c>
      <c r="G4" s="539"/>
      <c r="H4" s="539"/>
      <c r="I4" s="539"/>
      <c r="J4" s="539"/>
      <c r="K4" s="539"/>
      <c r="L4" s="539"/>
      <c r="M4" s="441"/>
      <c r="N4" s="261" t="s">
        <v>172</v>
      </c>
      <c r="O4" s="252"/>
      <c r="P4" s="252"/>
      <c r="Q4" s="252"/>
      <c r="R4" s="252"/>
      <c r="S4" s="252"/>
      <c r="T4" s="254"/>
      <c r="U4" s="81"/>
      <c r="X4" s="332"/>
    </row>
    <row r="5" spans="1:24">
      <c r="A5" s="291"/>
      <c r="B5" s="291"/>
      <c r="C5" s="428" t="s">
        <v>490</v>
      </c>
      <c r="D5" s="141" t="s">
        <v>528</v>
      </c>
      <c r="E5" s="429"/>
      <c r="F5" s="409" t="s">
        <v>501</v>
      </c>
      <c r="G5" s="409"/>
      <c r="H5" s="385"/>
      <c r="I5" s="435"/>
      <c r="J5" s="384" t="s">
        <v>503</v>
      </c>
      <c r="K5" s="409"/>
      <c r="L5" s="385"/>
      <c r="M5" s="435"/>
      <c r="N5" s="276" t="s">
        <v>484</v>
      </c>
      <c r="O5" s="255"/>
      <c r="P5" s="255"/>
      <c r="Q5" s="255"/>
      <c r="R5" s="255"/>
      <c r="S5" s="255"/>
      <c r="T5" s="271"/>
      <c r="U5" s="81"/>
      <c r="X5" s="332"/>
    </row>
    <row r="6" spans="1:24" s="159" customFormat="1">
      <c r="A6" s="141"/>
      <c r="B6" s="141" t="s">
        <v>490</v>
      </c>
      <c r="C6" s="428" t="s">
        <v>527</v>
      </c>
      <c r="D6" s="429" t="s">
        <v>530</v>
      </c>
      <c r="E6" s="428"/>
      <c r="F6" s="646"/>
      <c r="G6" s="392"/>
      <c r="H6" s="392"/>
      <c r="I6" s="220" t="s">
        <v>494</v>
      </c>
      <c r="J6" s="392"/>
      <c r="K6" s="392"/>
      <c r="L6" s="392"/>
      <c r="M6" s="220" t="s">
        <v>494</v>
      </c>
      <c r="N6" s="256" t="s">
        <v>407</v>
      </c>
      <c r="O6" s="257"/>
      <c r="P6" s="258"/>
      <c r="Q6" s="258"/>
      <c r="R6" s="258"/>
      <c r="S6" s="259"/>
      <c r="T6" s="260"/>
      <c r="U6" s="81"/>
      <c r="V6" s="81"/>
      <c r="W6" s="81"/>
      <c r="X6" s="332"/>
    </row>
    <row r="7" spans="1:24" s="159" customFormat="1">
      <c r="A7" s="310" t="s">
        <v>178</v>
      </c>
      <c r="B7" s="310" t="s">
        <v>527</v>
      </c>
      <c r="C7" s="430" t="s">
        <v>529</v>
      </c>
      <c r="D7" s="430" t="s">
        <v>529</v>
      </c>
      <c r="E7" s="430" t="s">
        <v>528</v>
      </c>
      <c r="F7" s="368" t="s">
        <v>406</v>
      </c>
      <c r="G7" s="284" t="s">
        <v>412</v>
      </c>
      <c r="H7" s="218" t="s">
        <v>414</v>
      </c>
      <c r="I7" s="218" t="s">
        <v>414</v>
      </c>
      <c r="J7" s="284" t="s">
        <v>406</v>
      </c>
      <c r="K7" s="284" t="s">
        <v>412</v>
      </c>
      <c r="L7" s="218" t="s">
        <v>414</v>
      </c>
      <c r="M7" s="218" t="s">
        <v>414</v>
      </c>
      <c r="N7" s="233"/>
      <c r="O7" s="233"/>
      <c r="P7" s="233" t="s">
        <v>153</v>
      </c>
      <c r="Q7" s="234" t="s">
        <v>178</v>
      </c>
      <c r="R7" s="234" t="s">
        <v>194</v>
      </c>
      <c r="S7" s="234" t="s">
        <v>401</v>
      </c>
      <c r="T7" s="235" t="s">
        <v>206</v>
      </c>
      <c r="U7" s="158"/>
      <c r="V7" s="81"/>
      <c r="W7" s="81"/>
      <c r="X7" s="158"/>
    </row>
    <row r="8" spans="1:24" s="159" customFormat="1">
      <c r="A8" s="331" t="s">
        <v>176</v>
      </c>
      <c r="B8" s="331" t="s">
        <v>203</v>
      </c>
      <c r="C8" s="309">
        <v>1</v>
      </c>
      <c r="D8" s="309">
        <v>300</v>
      </c>
      <c r="E8" s="309">
        <f>C8*D8</f>
        <v>300</v>
      </c>
      <c r="F8" s="268">
        <f t="shared" ref="F8:F19" si="0">SUMIFS(T$36:T$51,Q$36:Q$51,A8,R$36:R$51,B8,S$36:S$51,"Bill")+(SUM(SUMIFS(T$36:T$51,Q$36:Q$51,A8,R$36:R$51,B8,S$36:S$51,"Load Size kW"),SUMIFS(T$36:T$51,Q$36:Q$51,A8,S$36:S$51,"kW"))*C8+SUMIFS(U$36:U$51,Q$36:Q$51,A8,S$36:S$51,"kWh*")*E8)*1000</f>
        <v>28519.000000000004</v>
      </c>
      <c r="G8" s="268">
        <f t="shared" ref="G8:G19" ca="1" si="1">SUMIFS(T$92:T$113,Q$92:Q$113,A8,R$92:R$113,B8,S$92:S$113,"Bill")+(SUM(SUMIFS(T$92:T$113,Q$92:Q$113,A8,R$92:R$113,B8,S$92:S$113,"Load Size kW"),SUMIFS(T$92:T$113,Q$92:Q$113,A8,S$92:S$113,"kW"))*C8+SUMIFS(AC$92:AC$113,Q$92:Q$113,A8,S$92:S$113,"kWh*")*E8)*1000</f>
        <v>31162.25</v>
      </c>
      <c r="H8" s="268">
        <f ca="1">G8-F8</f>
        <v>2643.2499999999964</v>
      </c>
      <c r="I8" s="517">
        <f ca="1">IFERROR(H8/F8*100,100)</f>
        <v>9.2683824818541893</v>
      </c>
      <c r="J8" s="268">
        <f ca="1">G8</f>
        <v>31162.25</v>
      </c>
      <c r="K8" s="268">
        <f t="shared" ref="K8:K19" ca="1" si="2">SUMIFS(T$158:T$179,Q$158:Q$179,A8,R$158:R$179,B8,S$158:S$179,"Bill")+(SUM(SUMIFS(T$158:T$179,Q$158:Q$179,A8,R$158:R$179,B8,S$158:S$179,"Load Size kW"),SUMIFS(T$158:T$179,Q$158:Q$179,A8,S$158:S$179,"kW"))*C8+SUMIFS(AC$158:AC$179,Q$158:Q$179,A8,S$158:S$179,"kWh*")*E8)*1000</f>
        <v>33217.453263248368</v>
      </c>
      <c r="L8" s="268">
        <f ca="1">K8-J8</f>
        <v>2055.2032632483679</v>
      </c>
      <c r="M8" s="517">
        <f ca="1">IFERROR(L8/J8*100,100)</f>
        <v>6.5951696788529972</v>
      </c>
      <c r="N8" s="262" t="s">
        <v>217</v>
      </c>
      <c r="O8" s="145" t="s">
        <v>402</v>
      </c>
      <c r="P8" s="144" t="s">
        <v>5</v>
      </c>
      <c r="Q8" s="144" t="s">
        <v>176</v>
      </c>
      <c r="R8" s="144" t="s">
        <v>203</v>
      </c>
      <c r="S8" s="144" t="s">
        <v>335</v>
      </c>
      <c r="T8" s="144">
        <f>SUMIFS('Normalized Units'!I:I,'Normalized Units'!B:B,"Normalized Billing Units",'Normalized Units'!C:C,N$4,'Normalized Units'!D:D,P8,'Normalized Units'!E:E,Q8,'Normalized Units'!G:G,R8,'Normalized Units'!H:H,S8)</f>
        <v>353.66666666666663</v>
      </c>
      <c r="U8" s="91"/>
      <c r="V8" s="334"/>
      <c r="W8" s="334"/>
      <c r="X8" s="91"/>
    </row>
    <row r="9" spans="1:24" s="159" customFormat="1">
      <c r="A9" s="302" t="s">
        <v>176</v>
      </c>
      <c r="B9" s="302" t="s">
        <v>203</v>
      </c>
      <c r="C9" s="327">
        <v>1</v>
      </c>
      <c r="D9" s="327">
        <v>500</v>
      </c>
      <c r="E9" s="327">
        <f t="shared" ref="E9:E19" si="3">C9*D9</f>
        <v>500</v>
      </c>
      <c r="F9" s="141">
        <f t="shared" si="0"/>
        <v>40023</v>
      </c>
      <c r="G9" s="141">
        <f t="shared" ca="1" si="1"/>
        <v>43498.25</v>
      </c>
      <c r="H9" s="141">
        <f t="shared" ref="H9:H45" ca="1" si="4">G9-F9</f>
        <v>3475.25</v>
      </c>
      <c r="I9" s="512">
        <f t="shared" ref="I9:I45" ca="1" si="5">IFERROR(H9/F9*100,100)</f>
        <v>8.6831321989855841</v>
      </c>
      <c r="J9" s="141">
        <f t="shared" ref="J9:J45" ca="1" si="6">G9</f>
        <v>43498.25</v>
      </c>
      <c r="K9" s="141">
        <f t="shared" ca="1" si="2"/>
        <v>46140.422105413942</v>
      </c>
      <c r="L9" s="141">
        <f t="shared" ref="L9:L45" ca="1" si="7">K9-J9</f>
        <v>2642.1721054139416</v>
      </c>
      <c r="M9" s="512">
        <f t="shared" ref="M9:M45" ca="1" si="8">IFERROR(L9/J9*100,100)</f>
        <v>6.0742032275182138</v>
      </c>
      <c r="N9" s="237" t="s">
        <v>217</v>
      </c>
      <c r="O9" s="102" t="s">
        <v>402</v>
      </c>
      <c r="P9" s="100" t="s">
        <v>5</v>
      </c>
      <c r="Q9" s="100" t="s">
        <v>176</v>
      </c>
      <c r="R9" s="100" t="s">
        <v>203</v>
      </c>
      <c r="S9" s="100" t="s">
        <v>281</v>
      </c>
      <c r="T9" s="100">
        <f>SUMIFS('Normalized Units'!I:I,'Normalized Units'!B:B,"Normalized Billing Units",'Normalized Units'!C:C,N$4,'Normalized Units'!D:D,P9,'Normalized Units'!E:E,Q9,'Normalized Units'!G:G,R9,'Normalized Units'!H:H,S9)</f>
        <v>413974.99726775958</v>
      </c>
      <c r="U9" s="91"/>
      <c r="V9" s="334"/>
      <c r="W9" s="334"/>
      <c r="X9" s="91"/>
    </row>
    <row r="10" spans="1:24" s="159" customFormat="1">
      <c r="A10" s="390" t="s">
        <v>176</v>
      </c>
      <c r="B10" s="390" t="s">
        <v>203</v>
      </c>
      <c r="C10" s="227">
        <v>1</v>
      </c>
      <c r="D10" s="227">
        <v>700</v>
      </c>
      <c r="E10" s="327">
        <f t="shared" si="3"/>
        <v>700</v>
      </c>
      <c r="F10" s="141">
        <f t="shared" si="0"/>
        <v>51527.000000000007</v>
      </c>
      <c r="G10" s="141">
        <f t="shared" ca="1" si="1"/>
        <v>55834.250000000007</v>
      </c>
      <c r="H10" s="141">
        <f t="shared" ca="1" si="4"/>
        <v>4307.25</v>
      </c>
      <c r="I10" s="512">
        <f t="shared" ca="1" si="5"/>
        <v>8.3592097347021941</v>
      </c>
      <c r="J10" s="141">
        <f t="shared" ca="1" si="6"/>
        <v>55834.250000000007</v>
      </c>
      <c r="K10" s="141">
        <f t="shared" ca="1" si="2"/>
        <v>59063.390947579523</v>
      </c>
      <c r="L10" s="141">
        <f t="shared" ca="1" si="7"/>
        <v>3229.1409475795153</v>
      </c>
      <c r="M10" s="512">
        <f t="shared" ca="1" si="8"/>
        <v>5.7834410734979249</v>
      </c>
      <c r="N10" s="237" t="s">
        <v>217</v>
      </c>
      <c r="O10" s="102" t="s">
        <v>402</v>
      </c>
      <c r="P10" s="100" t="s">
        <v>5</v>
      </c>
      <c r="Q10" s="100" t="s">
        <v>176</v>
      </c>
      <c r="R10" s="100" t="s">
        <v>195</v>
      </c>
      <c r="S10" s="100" t="s">
        <v>202</v>
      </c>
      <c r="T10" s="100">
        <f>SUMIFS('Normalized Units'!I:I,'Normalized Units'!B:B,"Normalized Billing Units",'Normalized Units'!C:C,N$4,'Normalized Units'!D:D,P10,'Normalized Units'!E:E,Q10,'Normalized Units'!G:G,R10,'Normalized Units'!H:H,S10)</f>
        <v>291879.33333333337</v>
      </c>
      <c r="U10" s="91"/>
      <c r="V10" s="334"/>
      <c r="W10" s="334"/>
      <c r="X10" s="91"/>
    </row>
    <row r="11" spans="1:24" s="159" customFormat="1">
      <c r="A11" s="302" t="s">
        <v>176</v>
      </c>
      <c r="B11" s="302" t="s">
        <v>203</v>
      </c>
      <c r="C11" s="327">
        <v>2</v>
      </c>
      <c r="D11" s="327">
        <f>D8</f>
        <v>300</v>
      </c>
      <c r="E11" s="327">
        <f t="shared" si="3"/>
        <v>600</v>
      </c>
      <c r="F11" s="141">
        <f t="shared" si="0"/>
        <v>55725.000000000007</v>
      </c>
      <c r="G11" s="141">
        <f t="shared" ca="1" si="1"/>
        <v>61006.25</v>
      </c>
      <c r="H11" s="141">
        <f t="shared" ca="1" si="4"/>
        <v>5281.2499999999927</v>
      </c>
      <c r="I11" s="512">
        <f t="shared" ca="1" si="5"/>
        <v>9.4773441004934806</v>
      </c>
      <c r="J11" s="141">
        <f t="shared" ca="1" si="6"/>
        <v>61006.25</v>
      </c>
      <c r="K11" s="141">
        <f t="shared" ca="1" si="2"/>
        <v>65141.906526496736</v>
      </c>
      <c r="L11" s="141">
        <f t="shared" ca="1" si="7"/>
        <v>4135.6565264967358</v>
      </c>
      <c r="M11" s="512">
        <f t="shared" ca="1" si="8"/>
        <v>6.7790702206687605</v>
      </c>
      <c r="N11" s="237" t="s">
        <v>217</v>
      </c>
      <c r="O11" s="102" t="s">
        <v>402</v>
      </c>
      <c r="P11" s="100" t="s">
        <v>5</v>
      </c>
      <c r="Q11" s="100" t="s">
        <v>176</v>
      </c>
      <c r="R11" s="100" t="s">
        <v>195</v>
      </c>
      <c r="S11" s="100" t="s">
        <v>207</v>
      </c>
      <c r="T11" s="100">
        <f>SUMIFS('Normalized Units'!I:I,'Normalized Units'!B:B,"Normalized Billing Units",'Normalized Units'!C:C,N$4,'Normalized Units'!D:D,P11,'Normalized Units'!E:E,Q11,'Normalized Units'!G:G,R11,'Normalized Units'!H:H,S11)</f>
        <v>49153349.825124249</v>
      </c>
      <c r="U11" s="91"/>
      <c r="V11" s="334"/>
      <c r="W11" s="334"/>
      <c r="X11" s="91"/>
    </row>
    <row r="12" spans="1:24" s="159" customFormat="1">
      <c r="A12" s="302" t="s">
        <v>176</v>
      </c>
      <c r="B12" s="302" t="s">
        <v>203</v>
      </c>
      <c r="C12" s="327">
        <v>2</v>
      </c>
      <c r="D12" s="327">
        <f t="shared" ref="D12:D19" si="9">D9</f>
        <v>500</v>
      </c>
      <c r="E12" s="327">
        <f t="shared" si="3"/>
        <v>1000</v>
      </c>
      <c r="F12" s="141">
        <f t="shared" si="0"/>
        <v>78733</v>
      </c>
      <c r="G12" s="141">
        <f t="shared" ca="1" si="1"/>
        <v>85678.25</v>
      </c>
      <c r="H12" s="141">
        <f t="shared" ca="1" si="4"/>
        <v>6945.25</v>
      </c>
      <c r="I12" s="512">
        <f t="shared" ca="1" si="5"/>
        <v>8.8212693533842224</v>
      </c>
      <c r="J12" s="141">
        <f t="shared" ca="1" si="6"/>
        <v>85678.25</v>
      </c>
      <c r="K12" s="141">
        <f t="shared" ca="1" si="2"/>
        <v>90987.844210827883</v>
      </c>
      <c r="L12" s="141">
        <f t="shared" ca="1" si="7"/>
        <v>5309.5942108278832</v>
      </c>
      <c r="M12" s="512">
        <f t="shared" ca="1" si="8"/>
        <v>6.1971319568593932</v>
      </c>
      <c r="N12" s="237" t="s">
        <v>217</v>
      </c>
      <c r="O12" s="102" t="s">
        <v>402</v>
      </c>
      <c r="P12" s="100" t="s">
        <v>5</v>
      </c>
      <c r="Q12" s="100" t="s">
        <v>176</v>
      </c>
      <c r="R12" s="100" t="s">
        <v>195</v>
      </c>
      <c r="S12" s="100" t="s">
        <v>208</v>
      </c>
      <c r="T12" s="100">
        <f>SUMIFS('Normalized Units'!I:I,'Normalized Units'!B:B,"Normalized Billing Units",'Normalized Units'!C:C,N$4,'Normalized Units'!D:D,P12,'Normalized Units'!E:E,Q12,'Normalized Units'!G:G,R12,'Normalized Units'!H:H,S12)</f>
        <v>74269628.808923334</v>
      </c>
      <c r="U12" s="91"/>
      <c r="V12" s="334"/>
      <c r="W12" s="334"/>
      <c r="X12" s="91"/>
    </row>
    <row r="13" spans="1:24" s="159" customFormat="1">
      <c r="A13" s="302" t="s">
        <v>176</v>
      </c>
      <c r="B13" s="302" t="s">
        <v>203</v>
      </c>
      <c r="C13" s="327">
        <v>2</v>
      </c>
      <c r="D13" s="327">
        <f t="shared" si="9"/>
        <v>700</v>
      </c>
      <c r="E13" s="327">
        <f t="shared" si="3"/>
        <v>1400</v>
      </c>
      <c r="F13" s="141">
        <f t="shared" si="0"/>
        <v>101741.00000000001</v>
      </c>
      <c r="G13" s="141">
        <f t="shared" ca="1" si="1"/>
        <v>110350.25000000001</v>
      </c>
      <c r="H13" s="141">
        <f t="shared" ca="1" si="4"/>
        <v>8609.25</v>
      </c>
      <c r="I13" s="512">
        <f t="shared" ca="1" si="5"/>
        <v>8.4619278363688188</v>
      </c>
      <c r="J13" s="141">
        <f t="shared" ca="1" si="6"/>
        <v>110350.25000000001</v>
      </c>
      <c r="K13" s="141">
        <f t="shared" ca="1" si="2"/>
        <v>116833.78189515905</v>
      </c>
      <c r="L13" s="141">
        <f t="shared" ca="1" si="7"/>
        <v>6483.5318951590307</v>
      </c>
      <c r="M13" s="512">
        <f t="shared" ca="1" si="8"/>
        <v>5.8754120585671803</v>
      </c>
      <c r="N13" s="237" t="s">
        <v>217</v>
      </c>
      <c r="O13" s="102" t="s">
        <v>402</v>
      </c>
      <c r="P13" s="100" t="s">
        <v>5</v>
      </c>
      <c r="Q13" s="100" t="s">
        <v>176</v>
      </c>
      <c r="R13" s="100" t="s">
        <v>195</v>
      </c>
      <c r="S13" s="100" t="s">
        <v>201</v>
      </c>
      <c r="T13" s="100">
        <f>SUMIFS('Normalized Units'!I:I,'Normalized Units'!B:B,"Normalized Billing Units",'Normalized Units'!C:C,N$4,'Normalized Units'!D:D,P13,'Normalized Units'!E:E,Q13,'Normalized Units'!G:G,R13,'Normalized Units'!H:H,S13)</f>
        <v>31472.333333333332</v>
      </c>
      <c r="U13" s="91"/>
      <c r="V13" s="334"/>
      <c r="W13" s="334"/>
      <c r="X13" s="91"/>
    </row>
    <row r="14" spans="1:24" s="159" customFormat="1">
      <c r="A14" s="302" t="s">
        <v>176</v>
      </c>
      <c r="B14" s="302" t="s">
        <v>204</v>
      </c>
      <c r="C14" s="327">
        <v>4</v>
      </c>
      <c r="D14" s="327">
        <f t="shared" si="9"/>
        <v>300</v>
      </c>
      <c r="E14" s="327">
        <f t="shared" si="3"/>
        <v>1200</v>
      </c>
      <c r="F14" s="141">
        <f t="shared" si="0"/>
        <v>109891</v>
      </c>
      <c r="G14" s="141">
        <f t="shared" ca="1" si="1"/>
        <v>119969.34</v>
      </c>
      <c r="H14" s="141">
        <f t="shared" ca="1" si="4"/>
        <v>10078.339999999997</v>
      </c>
      <c r="I14" s="512">
        <f t="shared" ca="1" si="5"/>
        <v>9.1712151131575794</v>
      </c>
      <c r="J14" s="141">
        <f t="shared" ca="1" si="6"/>
        <v>119969.34</v>
      </c>
      <c r="K14" s="141">
        <f t="shared" ca="1" si="2"/>
        <v>127780.63305299348</v>
      </c>
      <c r="L14" s="141">
        <f t="shared" ca="1" si="7"/>
        <v>7811.293052993482</v>
      </c>
      <c r="M14" s="512">
        <f t="shared" ca="1" si="8"/>
        <v>6.5110744570183368</v>
      </c>
      <c r="N14" s="237" t="s">
        <v>217</v>
      </c>
      <c r="O14" s="102" t="s">
        <v>402</v>
      </c>
      <c r="P14" s="100" t="s">
        <v>5</v>
      </c>
      <c r="Q14" s="100" t="s">
        <v>177</v>
      </c>
      <c r="R14" s="100" t="s">
        <v>203</v>
      </c>
      <c r="S14" s="100" t="s">
        <v>335</v>
      </c>
      <c r="T14" s="100">
        <f>SUMIFS('Normalized Units'!I:I,'Normalized Units'!B:B,"Normalized Billing Units",'Normalized Units'!C:C,N$4,'Normalized Units'!D:D,P14,'Normalized Units'!E:E,Q14,'Normalized Units'!G:G,R14,'Normalized Units'!H:H,S14)</f>
        <v>83.666666666666671</v>
      </c>
      <c r="U14" s="91"/>
      <c r="V14" s="334"/>
      <c r="W14" s="334"/>
      <c r="X14" s="91"/>
    </row>
    <row r="15" spans="1:24" s="159" customFormat="1">
      <c r="A15" s="302" t="s">
        <v>176</v>
      </c>
      <c r="B15" s="302" t="s">
        <v>204</v>
      </c>
      <c r="C15" s="327">
        <v>4</v>
      </c>
      <c r="D15" s="327">
        <f t="shared" si="9"/>
        <v>500</v>
      </c>
      <c r="E15" s="327">
        <f t="shared" si="3"/>
        <v>2000</v>
      </c>
      <c r="F15" s="141">
        <f t="shared" si="0"/>
        <v>155907</v>
      </c>
      <c r="G15" s="141">
        <f t="shared" ca="1" si="1"/>
        <v>169313.34</v>
      </c>
      <c r="H15" s="141">
        <f t="shared" ca="1" si="4"/>
        <v>13406.339999999997</v>
      </c>
      <c r="I15" s="512">
        <f t="shared" ca="1" si="5"/>
        <v>8.5989339798726139</v>
      </c>
      <c r="J15" s="141">
        <f t="shared" ca="1" si="6"/>
        <v>169313.34</v>
      </c>
      <c r="K15" s="141">
        <f t="shared" ca="1" si="2"/>
        <v>179472.50842165577</v>
      </c>
      <c r="L15" s="141">
        <f t="shared" ca="1" si="7"/>
        <v>10159.168421655777</v>
      </c>
      <c r="M15" s="512">
        <f t="shared" ca="1" si="8"/>
        <v>6.0002173612875254</v>
      </c>
      <c r="N15" s="237" t="s">
        <v>217</v>
      </c>
      <c r="O15" s="102" t="s">
        <v>402</v>
      </c>
      <c r="P15" s="100" t="s">
        <v>5</v>
      </c>
      <c r="Q15" s="100" t="s">
        <v>177</v>
      </c>
      <c r="R15" s="100" t="s">
        <v>204</v>
      </c>
      <c r="S15" s="100" t="s">
        <v>335</v>
      </c>
      <c r="T15" s="100">
        <f>SUMIFS('Normalized Units'!I:I,'Normalized Units'!B:B,"Normalized Billing Units",'Normalized Units'!C:C,N$4,'Normalized Units'!D:D,P15,'Normalized Units'!E:E,Q15,'Normalized Units'!G:G,R15,'Normalized Units'!H:H,S15)</f>
        <v>12</v>
      </c>
      <c r="U15" s="91"/>
      <c r="V15" s="334"/>
      <c r="W15" s="334"/>
      <c r="X15" s="91"/>
    </row>
    <row r="16" spans="1:24" s="159" customFormat="1">
      <c r="A16" s="302" t="s">
        <v>176</v>
      </c>
      <c r="B16" s="302" t="s">
        <v>204</v>
      </c>
      <c r="C16" s="327">
        <v>4</v>
      </c>
      <c r="D16" s="327">
        <f t="shared" si="9"/>
        <v>700</v>
      </c>
      <c r="E16" s="327">
        <f t="shared" si="3"/>
        <v>2800</v>
      </c>
      <c r="F16" s="141">
        <f t="shared" si="0"/>
        <v>201923</v>
      </c>
      <c r="G16" s="141">
        <f t="shared" ca="1" si="1"/>
        <v>218657.34000000003</v>
      </c>
      <c r="H16" s="141">
        <f t="shared" ca="1" si="4"/>
        <v>16734.340000000026</v>
      </c>
      <c r="I16" s="512">
        <f t="shared" ca="1" si="5"/>
        <v>8.2874858238041362</v>
      </c>
      <c r="J16" s="141">
        <f t="shared" ca="1" si="6"/>
        <v>218657.34000000003</v>
      </c>
      <c r="K16" s="141">
        <f t="shared" ca="1" si="2"/>
        <v>231164.3837903181</v>
      </c>
      <c r="L16" s="141">
        <f t="shared" ca="1" si="7"/>
        <v>12507.043790318072</v>
      </c>
      <c r="M16" s="512">
        <f t="shared" ca="1" si="8"/>
        <v>5.7199286291135119</v>
      </c>
      <c r="N16" s="237" t="s">
        <v>217</v>
      </c>
      <c r="O16" s="102" t="s">
        <v>402</v>
      </c>
      <c r="P16" s="100" t="s">
        <v>5</v>
      </c>
      <c r="Q16" s="100" t="s">
        <v>177</v>
      </c>
      <c r="R16" s="100" t="s">
        <v>203</v>
      </c>
      <c r="S16" s="100" t="s">
        <v>281</v>
      </c>
      <c r="T16" s="100">
        <f>SUMIFS('Normalized Units'!I:I,'Normalized Units'!B:B,"Normalized Billing Units",'Normalized Units'!C:C,N$4,'Normalized Units'!D:D,P16,'Normalized Units'!E:E,Q16,'Normalized Units'!G:G,R16,'Normalized Units'!H:H,S16)</f>
        <v>91474.688524590165</v>
      </c>
      <c r="U16" s="91"/>
      <c r="V16" s="334"/>
      <c r="W16" s="334"/>
      <c r="X16" s="91"/>
    </row>
    <row r="17" spans="1:24" s="159" customFormat="1">
      <c r="A17" s="302" t="s">
        <v>176</v>
      </c>
      <c r="B17" s="302" t="s">
        <v>204</v>
      </c>
      <c r="C17" s="327">
        <v>6</v>
      </c>
      <c r="D17" s="327">
        <f t="shared" si="9"/>
        <v>300</v>
      </c>
      <c r="E17" s="327">
        <f t="shared" si="3"/>
        <v>1800</v>
      </c>
      <c r="F17" s="141">
        <f t="shared" si="0"/>
        <v>164043.00000000003</v>
      </c>
      <c r="G17" s="141">
        <f t="shared" ca="1" si="1"/>
        <v>179157.34</v>
      </c>
      <c r="H17" s="141">
        <f t="shared" ca="1" si="4"/>
        <v>15114.339999999967</v>
      </c>
      <c r="I17" s="512">
        <f t="shared" ca="1" si="5"/>
        <v>9.2136452027821747</v>
      </c>
      <c r="J17" s="141">
        <f t="shared" ca="1" si="6"/>
        <v>179157.34</v>
      </c>
      <c r="K17" s="141">
        <f t="shared" ca="1" si="2"/>
        <v>190889.5395794902</v>
      </c>
      <c r="L17" s="141">
        <f t="shared" ca="1" si="7"/>
        <v>11732.199579490203</v>
      </c>
      <c r="M17" s="512">
        <f t="shared" ca="1" si="8"/>
        <v>6.5485453063157797</v>
      </c>
      <c r="N17" s="237" t="s">
        <v>217</v>
      </c>
      <c r="O17" s="102" t="s">
        <v>402</v>
      </c>
      <c r="P17" s="100" t="s">
        <v>5</v>
      </c>
      <c r="Q17" s="100" t="s">
        <v>177</v>
      </c>
      <c r="R17" s="100" t="s">
        <v>204</v>
      </c>
      <c r="S17" s="100" t="s">
        <v>281</v>
      </c>
      <c r="T17" s="100">
        <f>SUMIFS('Normalized Units'!I:I,'Normalized Units'!B:B,"Normalized Billing Units",'Normalized Units'!C:C,N$4,'Normalized Units'!D:D,P17,'Normalized Units'!E:E,Q17,'Normalized Units'!G:G,R17,'Normalized Units'!H:H,S17)</f>
        <v>54406</v>
      </c>
      <c r="U17" s="91"/>
      <c r="V17" s="334"/>
      <c r="W17" s="334"/>
      <c r="X17" s="91"/>
    </row>
    <row r="18" spans="1:24" s="159" customFormat="1">
      <c r="A18" s="302" t="s">
        <v>176</v>
      </c>
      <c r="B18" s="302" t="s">
        <v>204</v>
      </c>
      <c r="C18" s="327">
        <v>6</v>
      </c>
      <c r="D18" s="327">
        <f t="shared" si="9"/>
        <v>500</v>
      </c>
      <c r="E18" s="327">
        <f t="shared" si="3"/>
        <v>3000</v>
      </c>
      <c r="F18" s="141">
        <f t="shared" si="0"/>
        <v>233067.00000000003</v>
      </c>
      <c r="G18" s="141">
        <f t="shared" ca="1" si="1"/>
        <v>253173.33999999997</v>
      </c>
      <c r="H18" s="141">
        <f t="shared" ca="1" si="4"/>
        <v>20106.339999999938</v>
      </c>
      <c r="I18" s="512">
        <f t="shared" ca="1" si="5"/>
        <v>8.6268497899745284</v>
      </c>
      <c r="J18" s="141">
        <f t="shared" ca="1" si="6"/>
        <v>253173.33999999997</v>
      </c>
      <c r="K18" s="141">
        <f t="shared" ca="1" si="2"/>
        <v>268427.35263248364</v>
      </c>
      <c r="L18" s="141">
        <f t="shared" ca="1" si="7"/>
        <v>15254.012632483675</v>
      </c>
      <c r="M18" s="512">
        <f t="shared" ca="1" si="8"/>
        <v>6.0251259601361173</v>
      </c>
      <c r="N18" s="237" t="s">
        <v>217</v>
      </c>
      <c r="O18" s="102" t="s">
        <v>402</v>
      </c>
      <c r="P18" s="100" t="s">
        <v>5</v>
      </c>
      <c r="Q18" s="100" t="s">
        <v>177</v>
      </c>
      <c r="R18" s="100" t="s">
        <v>195</v>
      </c>
      <c r="S18" s="100" t="s">
        <v>202</v>
      </c>
      <c r="T18" s="100">
        <f>SUMIFS('Normalized Units'!I:I,'Normalized Units'!B:B,"Normalized Billing Units",'Normalized Units'!C:C,N$4,'Normalized Units'!D:D,P18,'Normalized Units'!E:E,Q18,'Normalized Units'!G:G,R18,'Normalized Units'!H:H,S18)</f>
        <v>117203.33409090909</v>
      </c>
      <c r="U18" s="91"/>
      <c r="V18" s="334"/>
      <c r="W18" s="334"/>
      <c r="X18" s="91"/>
    </row>
    <row r="19" spans="1:24" s="159" customFormat="1">
      <c r="A19" s="306" t="s">
        <v>176</v>
      </c>
      <c r="B19" s="306" t="s">
        <v>204</v>
      </c>
      <c r="C19" s="310">
        <v>6</v>
      </c>
      <c r="D19" s="310">
        <f t="shared" si="9"/>
        <v>700</v>
      </c>
      <c r="E19" s="310">
        <f t="shared" si="3"/>
        <v>4200</v>
      </c>
      <c r="F19" s="142">
        <f t="shared" si="0"/>
        <v>302091</v>
      </c>
      <c r="G19" s="142">
        <f t="shared" ca="1" si="1"/>
        <v>327189.34000000003</v>
      </c>
      <c r="H19" s="142">
        <f t="shared" ca="1" si="4"/>
        <v>25098.340000000026</v>
      </c>
      <c r="I19" s="513">
        <f t="shared" ca="1" si="5"/>
        <v>8.3082051434832636</v>
      </c>
      <c r="J19" s="142">
        <f t="shared" ca="1" si="6"/>
        <v>327189.34000000003</v>
      </c>
      <c r="K19" s="142">
        <f t="shared" ca="1" si="2"/>
        <v>345965.16568547708</v>
      </c>
      <c r="L19" s="142">
        <f t="shared" ca="1" si="7"/>
        <v>18775.825685477059</v>
      </c>
      <c r="M19" s="513">
        <f t="shared" ca="1" si="8"/>
        <v>5.7385199913533418</v>
      </c>
      <c r="N19" s="237" t="s">
        <v>217</v>
      </c>
      <c r="O19" s="102" t="s">
        <v>402</v>
      </c>
      <c r="P19" s="100" t="s">
        <v>5</v>
      </c>
      <c r="Q19" s="100" t="s">
        <v>177</v>
      </c>
      <c r="R19" s="100" t="s">
        <v>195</v>
      </c>
      <c r="S19" s="100" t="s">
        <v>207</v>
      </c>
      <c r="T19" s="100">
        <f>SUMIFS('Normalized Units'!I:I,'Normalized Units'!B:B,"Normalized Billing Units",'Normalized Units'!C:C,N$4,'Normalized Units'!D:D,P19,'Normalized Units'!E:E,Q19,'Normalized Units'!G:G,R19,'Normalized Units'!H:H,S19)</f>
        <v>20677549.9030241</v>
      </c>
      <c r="U19" s="91"/>
      <c r="V19" s="334"/>
      <c r="W19" s="334"/>
      <c r="X19" s="91"/>
    </row>
    <row r="20" spans="1:24" s="159" customFormat="1">
      <c r="A20" s="431" t="s">
        <v>510</v>
      </c>
      <c r="B20" s="432"/>
      <c r="C20" s="432"/>
      <c r="D20" s="432"/>
      <c r="E20" s="432"/>
      <c r="F20" s="433"/>
      <c r="G20" s="433"/>
      <c r="H20" s="433"/>
      <c r="I20" s="531"/>
      <c r="J20" s="433"/>
      <c r="K20" s="433"/>
      <c r="L20" s="433"/>
      <c r="M20" s="522"/>
      <c r="N20" s="237" t="s">
        <v>217</v>
      </c>
      <c r="O20" s="102" t="s">
        <v>402</v>
      </c>
      <c r="P20" s="100" t="s">
        <v>5</v>
      </c>
      <c r="Q20" s="100" t="s">
        <v>177</v>
      </c>
      <c r="R20" s="100" t="s">
        <v>195</v>
      </c>
      <c r="S20" s="100" t="s">
        <v>208</v>
      </c>
      <c r="T20" s="100">
        <f>SUMIFS('Normalized Units'!I:I,'Normalized Units'!B:B,"Normalized Billing Units",'Normalized Units'!C:C,N$4,'Normalized Units'!D:D,P20,'Normalized Units'!E:E,Q20,'Normalized Units'!G:G,R20,'Normalized Units'!H:H,S20)</f>
        <v>30762665.039901745</v>
      </c>
      <c r="U20" s="91"/>
      <c r="V20" s="334"/>
      <c r="W20" s="334"/>
      <c r="X20" s="91"/>
    </row>
    <row r="21" spans="1:24" s="159" customFormat="1">
      <c r="A21" s="331" t="s">
        <v>177</v>
      </c>
      <c r="B21" s="331" t="s">
        <v>203</v>
      </c>
      <c r="C21" s="309">
        <v>1</v>
      </c>
      <c r="D21" s="309">
        <f>D17</f>
        <v>300</v>
      </c>
      <c r="E21" s="309">
        <f t="shared" ref="E21:E32" si="10">C21*D21</f>
        <v>300</v>
      </c>
      <c r="F21" s="268">
        <f t="shared" ref="F21:F32" si="11">SUMIFS(T$36:T$51,Q$36:Q$51,A21,R$36:R$51,B21,S$36:S$51,"Bill")+(SUM(SUMIFS(T$36:T$51,Q$36:Q$51,A21,R$36:R$51,B21,S$36:S$51,"Load Size kW"),SUMIFS(T$36:T$51,Q$36:Q$51,A21,S$36:S$51,"kW"))*C21+SUMIFS(U$36:U$51,Q$36:Q$51,A21,S$36:S$51,"kWh*")*E21)*1000</f>
        <v>27851</v>
      </c>
      <c r="G21" s="268">
        <f t="shared" ref="G21:G32" ca="1" si="12">SUMIFS(T$92:T$113,Q$92:Q$113,A21,R$92:R$113,B21,S$92:S$113,"Bill")+(SUM(SUMIFS(T$92:T$113,Q$92:Q$113,A21,R$92:R$113,B21,S$92:S$113,"Load Size kW"),SUMIFS(T$92:T$113,Q$92:Q$113,A21,S$92:S$113,"kW"))*C21+SUMIFS(AC$92:AC$113,Q$92:Q$113,A21,S$92:S$113,"kWh*")*E21)*1000</f>
        <v>29941.37</v>
      </c>
      <c r="H21" s="268">
        <f t="shared" ca="1" si="4"/>
        <v>2090.369999999999</v>
      </c>
      <c r="I21" s="517">
        <f t="shared" ca="1" si="5"/>
        <v>7.5055473771139249</v>
      </c>
      <c r="J21" s="268">
        <f t="shared" ca="1" si="6"/>
        <v>29941.37</v>
      </c>
      <c r="K21" s="268">
        <f t="shared" ref="K21:K32" ca="1" si="13">SUMIFS(T$158:T$179,Q$158:Q$179,A21,R$158:R$179,B21,S$158:S$179,"Bill")+(SUM(SUMIFS(T$158:T$179,Q$158:Q$179,A21,R$158:R$179,B21,S$158:S$179,"Load Size kW"),SUMIFS(T$158:T$179,Q$158:Q$179,A21,S$158:S$179,"kW"))*C21+SUMIFS(AC$158:AC$179,Q$158:Q$179,A21,S$158:S$179,"kWh*")*E21)*1000</f>
        <v>31428.299518009084</v>
      </c>
      <c r="L21" s="268">
        <f t="shared" ca="1" si="7"/>
        <v>1486.9295180090849</v>
      </c>
      <c r="M21" s="517">
        <f t="shared" ca="1" si="8"/>
        <v>4.9661372141925533</v>
      </c>
      <c r="N21" s="237" t="s">
        <v>217</v>
      </c>
      <c r="O21" s="102" t="s">
        <v>402</v>
      </c>
      <c r="P21" s="100" t="s">
        <v>5</v>
      </c>
      <c r="Q21" s="100" t="s">
        <v>177</v>
      </c>
      <c r="R21" s="100" t="s">
        <v>195</v>
      </c>
      <c r="S21" s="100" t="s">
        <v>201</v>
      </c>
      <c r="T21" s="100">
        <f>SUMIFS('Normalized Units'!I:I,'Normalized Units'!B:B,"Normalized Billing Units",'Normalized Units'!C:C,N$4,'Normalized Units'!D:D,P21,'Normalized Units'!E:E,Q21,'Normalized Units'!G:G,R21,'Normalized Units'!H:H,S21)</f>
        <v>9250.1428571428569</v>
      </c>
      <c r="U21" s="91"/>
      <c r="V21" s="334"/>
      <c r="W21" s="334"/>
      <c r="X21" s="91"/>
    </row>
    <row r="22" spans="1:24" s="159" customFormat="1">
      <c r="A22" s="302" t="s">
        <v>177</v>
      </c>
      <c r="B22" s="302" t="s">
        <v>203</v>
      </c>
      <c r="C22" s="327">
        <v>1</v>
      </c>
      <c r="D22" s="327">
        <f>D18</f>
        <v>500</v>
      </c>
      <c r="E22" s="327">
        <f t="shared" si="10"/>
        <v>500</v>
      </c>
      <c r="F22" s="141">
        <f t="shared" si="11"/>
        <v>39249</v>
      </c>
      <c r="G22" s="141">
        <f t="shared" ca="1" si="12"/>
        <v>42169.37</v>
      </c>
      <c r="H22" s="141">
        <f t="shared" ca="1" si="4"/>
        <v>2920.3700000000026</v>
      </c>
      <c r="I22" s="512">
        <f t="shared" ca="1" si="5"/>
        <v>7.4406226910239823</v>
      </c>
      <c r="J22" s="141">
        <f t="shared" ca="1" si="6"/>
        <v>42169.37</v>
      </c>
      <c r="K22" s="141">
        <f t="shared" ca="1" si="13"/>
        <v>44238.145863348473</v>
      </c>
      <c r="L22" s="141">
        <f t="shared" ca="1" si="7"/>
        <v>2068.77586334847</v>
      </c>
      <c r="M22" s="512">
        <f t="shared" ca="1" si="8"/>
        <v>4.905873299384055</v>
      </c>
      <c r="N22" s="237" t="s">
        <v>217</v>
      </c>
      <c r="O22" s="102" t="s">
        <v>402</v>
      </c>
      <c r="P22" s="100" t="s">
        <v>7</v>
      </c>
      <c r="Q22" s="100" t="s">
        <v>176</v>
      </c>
      <c r="R22" s="100" t="s">
        <v>203</v>
      </c>
      <c r="S22" s="100" t="s">
        <v>335</v>
      </c>
      <c r="T22" s="100">
        <f>SUMIFS('Normalized Units'!I:I,'Normalized Units'!B:B,"Normalized Billing Units",'Normalized Units'!C:C,N$4,'Normalized Units'!D:D,P22,'Normalized Units'!E:E,Q22,'Normalized Units'!G:G,R22,'Normalized Units'!H:H,S22)</f>
        <v>309</v>
      </c>
      <c r="U22" s="91"/>
      <c r="V22" s="334"/>
      <c r="W22" s="334"/>
      <c r="X22" s="91"/>
    </row>
    <row r="23" spans="1:24" s="159" customFormat="1">
      <c r="A23" s="390" t="s">
        <v>177</v>
      </c>
      <c r="B23" s="390" t="s">
        <v>203</v>
      </c>
      <c r="C23" s="227">
        <v>1</v>
      </c>
      <c r="D23" s="227">
        <f>D19</f>
        <v>700</v>
      </c>
      <c r="E23" s="327">
        <f t="shared" si="10"/>
        <v>700</v>
      </c>
      <c r="F23" s="141">
        <f t="shared" si="11"/>
        <v>50647</v>
      </c>
      <c r="G23" s="141">
        <f t="shared" ca="1" si="12"/>
        <v>54397.37</v>
      </c>
      <c r="H23" s="141">
        <f t="shared" ca="1" si="4"/>
        <v>3750.3700000000026</v>
      </c>
      <c r="I23" s="512">
        <f t="shared" ca="1" si="5"/>
        <v>7.4049203309179275</v>
      </c>
      <c r="J23" s="141">
        <f t="shared" ca="1" si="6"/>
        <v>54397.37</v>
      </c>
      <c r="K23" s="141">
        <f t="shared" ca="1" si="13"/>
        <v>57047.992208687865</v>
      </c>
      <c r="L23" s="141">
        <f t="shared" ca="1" si="7"/>
        <v>2650.6222086878624</v>
      </c>
      <c r="M23" s="512">
        <f t="shared" ca="1" si="8"/>
        <v>4.8727028690686005</v>
      </c>
      <c r="N23" s="237" t="s">
        <v>217</v>
      </c>
      <c r="O23" s="102" t="s">
        <v>402</v>
      </c>
      <c r="P23" s="100" t="s">
        <v>7</v>
      </c>
      <c r="Q23" s="100" t="s">
        <v>176</v>
      </c>
      <c r="R23" s="100" t="s">
        <v>204</v>
      </c>
      <c r="S23" s="100" t="s">
        <v>335</v>
      </c>
      <c r="T23" s="100">
        <f>SUMIFS('Normalized Units'!I:I,'Normalized Units'!B:B,"Normalized Billing Units",'Normalized Units'!C:C,N$4,'Normalized Units'!D:D,P23,'Normalized Units'!E:E,Q23,'Normalized Units'!G:G,R23,'Normalized Units'!H:H,S23)</f>
        <v>27</v>
      </c>
      <c r="U23" s="91"/>
      <c r="V23" s="334"/>
      <c r="W23" s="334"/>
      <c r="X23" s="91"/>
    </row>
    <row r="24" spans="1:24" s="159" customFormat="1">
      <c r="A24" s="302" t="s">
        <v>177</v>
      </c>
      <c r="B24" s="302" t="s">
        <v>203</v>
      </c>
      <c r="C24" s="327">
        <v>2</v>
      </c>
      <c r="D24" s="327">
        <f t="shared" ref="D24:D32" si="14">D21</f>
        <v>300</v>
      </c>
      <c r="E24" s="327">
        <f t="shared" si="10"/>
        <v>600</v>
      </c>
      <c r="F24" s="141">
        <f t="shared" si="11"/>
        <v>54358</v>
      </c>
      <c r="G24" s="141">
        <f t="shared" ca="1" si="12"/>
        <v>58533.37</v>
      </c>
      <c r="H24" s="141">
        <f t="shared" ca="1" si="4"/>
        <v>4175.3700000000026</v>
      </c>
      <c r="I24" s="512">
        <f t="shared" ca="1" si="5"/>
        <v>7.6812428713344909</v>
      </c>
      <c r="J24" s="141">
        <f t="shared" ca="1" si="6"/>
        <v>58533.37</v>
      </c>
      <c r="K24" s="141">
        <f t="shared" ca="1" si="13"/>
        <v>61533.069036018169</v>
      </c>
      <c r="L24" s="141">
        <f t="shared" ca="1" si="7"/>
        <v>2999.6990360181662</v>
      </c>
      <c r="M24" s="512">
        <f t="shared" ca="1" si="8"/>
        <v>5.1247673523977282</v>
      </c>
      <c r="N24" s="237" t="s">
        <v>217</v>
      </c>
      <c r="O24" s="102" t="s">
        <v>402</v>
      </c>
      <c r="P24" s="100" t="s">
        <v>7</v>
      </c>
      <c r="Q24" s="100" t="s">
        <v>176</v>
      </c>
      <c r="R24" s="100" t="s">
        <v>203</v>
      </c>
      <c r="S24" s="100" t="s">
        <v>281</v>
      </c>
      <c r="T24" s="100">
        <f>SUMIFS('Normalized Units'!I:I,'Normalized Units'!B:B,"Normalized Billing Units",'Normalized Units'!C:C,N$4,'Normalized Units'!D:D,P24,'Normalized Units'!E:E,Q24,'Normalized Units'!G:G,R24,'Normalized Units'!H:H,S24)</f>
        <v>404993</v>
      </c>
      <c r="U24" s="91"/>
      <c r="V24" s="334"/>
      <c r="W24" s="334"/>
      <c r="X24" s="91"/>
    </row>
    <row r="25" spans="1:24" s="159" customFormat="1">
      <c r="A25" s="302" t="s">
        <v>177</v>
      </c>
      <c r="B25" s="302" t="s">
        <v>203</v>
      </c>
      <c r="C25" s="327">
        <v>2</v>
      </c>
      <c r="D25" s="327">
        <f t="shared" si="14"/>
        <v>500</v>
      </c>
      <c r="E25" s="327">
        <f t="shared" si="10"/>
        <v>1000</v>
      </c>
      <c r="F25" s="141">
        <f t="shared" si="11"/>
        <v>77154</v>
      </c>
      <c r="G25" s="141">
        <f t="shared" ca="1" si="12"/>
        <v>82989.37</v>
      </c>
      <c r="H25" s="141">
        <f t="shared" ca="1" si="4"/>
        <v>5835.3699999999953</v>
      </c>
      <c r="I25" s="512">
        <f t="shared" ca="1" si="5"/>
        <v>7.5632760453119676</v>
      </c>
      <c r="J25" s="141">
        <f t="shared" ca="1" si="6"/>
        <v>82989.37</v>
      </c>
      <c r="K25" s="141">
        <f t="shared" ca="1" si="13"/>
        <v>87152.761726696946</v>
      </c>
      <c r="L25" s="141">
        <f t="shared" ca="1" si="7"/>
        <v>4163.3917266969511</v>
      </c>
      <c r="M25" s="512">
        <f t="shared" ca="1" si="8"/>
        <v>5.0167771206082801</v>
      </c>
      <c r="N25" s="237" t="s">
        <v>217</v>
      </c>
      <c r="O25" s="102" t="s">
        <v>402</v>
      </c>
      <c r="P25" s="100" t="s">
        <v>7</v>
      </c>
      <c r="Q25" s="100" t="s">
        <v>176</v>
      </c>
      <c r="R25" s="100" t="s">
        <v>204</v>
      </c>
      <c r="S25" s="100" t="s">
        <v>281</v>
      </c>
      <c r="T25" s="100">
        <f>SUMIFS('Normalized Units'!I:I,'Normalized Units'!B:B,"Normalized Billing Units",'Normalized Units'!C:C,N$4,'Normalized Units'!D:D,P25,'Normalized Units'!E:E,Q25,'Normalized Units'!G:G,R25,'Normalized Units'!H:H,S25)</f>
        <v>105203</v>
      </c>
      <c r="U25" s="91"/>
      <c r="V25" s="334"/>
      <c r="W25" s="334"/>
      <c r="X25" s="91"/>
    </row>
    <row r="26" spans="1:24" s="159" customFormat="1">
      <c r="A26" s="302" t="s">
        <v>177</v>
      </c>
      <c r="B26" s="302" t="s">
        <v>203</v>
      </c>
      <c r="C26" s="327">
        <v>2</v>
      </c>
      <c r="D26" s="327">
        <f t="shared" si="14"/>
        <v>700</v>
      </c>
      <c r="E26" s="327">
        <f t="shared" si="10"/>
        <v>1400</v>
      </c>
      <c r="F26" s="141">
        <f t="shared" si="11"/>
        <v>99950</v>
      </c>
      <c r="G26" s="141">
        <f t="shared" ca="1" si="12"/>
        <v>107445.37</v>
      </c>
      <c r="H26" s="141">
        <f t="shared" ca="1" si="4"/>
        <v>7495.3699999999953</v>
      </c>
      <c r="I26" s="512">
        <f t="shared" ca="1" si="5"/>
        <v>7.499119559779885</v>
      </c>
      <c r="J26" s="141">
        <f t="shared" ca="1" si="6"/>
        <v>107445.37</v>
      </c>
      <c r="K26" s="141">
        <f t="shared" ca="1" si="13"/>
        <v>112772.45441737573</v>
      </c>
      <c r="L26" s="141">
        <f t="shared" ca="1" si="7"/>
        <v>5327.0844173757359</v>
      </c>
      <c r="M26" s="512">
        <f t="shared" ca="1" si="8"/>
        <v>4.9579469244470342</v>
      </c>
      <c r="N26" s="237" t="s">
        <v>217</v>
      </c>
      <c r="O26" s="102" t="s">
        <v>402</v>
      </c>
      <c r="P26" s="100" t="s">
        <v>7</v>
      </c>
      <c r="Q26" s="100" t="s">
        <v>176</v>
      </c>
      <c r="R26" s="100" t="s">
        <v>195</v>
      </c>
      <c r="S26" s="100" t="s">
        <v>202</v>
      </c>
      <c r="T26" s="100">
        <f>SUMIFS('Normalized Units'!I:I,'Normalized Units'!B:B,"Normalized Billing Units",'Normalized Units'!C:C,N$4,'Normalized Units'!D:D,P26,'Normalized Units'!E:E,Q26,'Normalized Units'!G:G,R26,'Normalized Units'!H:H,S26)</f>
        <v>431793</v>
      </c>
      <c r="U26" s="91"/>
      <c r="V26" s="334"/>
      <c r="W26" s="334"/>
      <c r="X26" s="91"/>
    </row>
    <row r="27" spans="1:24" s="159" customFormat="1">
      <c r="A27" s="302" t="s">
        <v>177</v>
      </c>
      <c r="B27" s="302" t="s">
        <v>204</v>
      </c>
      <c r="C27" s="327">
        <v>4</v>
      </c>
      <c r="D27" s="327">
        <f t="shared" si="14"/>
        <v>300</v>
      </c>
      <c r="E27" s="327">
        <f t="shared" si="10"/>
        <v>1200</v>
      </c>
      <c r="F27" s="141">
        <f t="shared" si="11"/>
        <v>107206.00000000001</v>
      </c>
      <c r="G27" s="141">
        <f t="shared" ca="1" si="12"/>
        <v>115152.46999999999</v>
      </c>
      <c r="H27" s="141">
        <f t="shared" ca="1" si="4"/>
        <v>7946.4699999999721</v>
      </c>
      <c r="I27" s="512">
        <f t="shared" ca="1" si="5"/>
        <v>7.4123369960636261</v>
      </c>
      <c r="J27" s="141">
        <f t="shared" ca="1" si="6"/>
        <v>115152.46999999999</v>
      </c>
      <c r="K27" s="141">
        <f t="shared" ca="1" si="13"/>
        <v>120772.43807203634</v>
      </c>
      <c r="L27" s="141">
        <f t="shared" ca="1" si="7"/>
        <v>5619.968072036354</v>
      </c>
      <c r="M27" s="512">
        <f t="shared" ca="1" si="8"/>
        <v>4.8804581196012169</v>
      </c>
      <c r="N27" s="237" t="s">
        <v>217</v>
      </c>
      <c r="O27" s="102" t="s">
        <v>402</v>
      </c>
      <c r="P27" s="100" t="s">
        <v>7</v>
      </c>
      <c r="Q27" s="100" t="s">
        <v>176</v>
      </c>
      <c r="R27" s="100" t="s">
        <v>195</v>
      </c>
      <c r="S27" s="100" t="s">
        <v>207</v>
      </c>
      <c r="T27" s="100">
        <f>SUMIFS('Normalized Units'!I:I,'Normalized Units'!B:B,"Normalized Billing Units",'Normalized Units'!C:C,N$4,'Normalized Units'!D:D,P27,'Normalized Units'!E:E,Q27,'Normalized Units'!G:G,R27,'Normalized Units'!H:H,S27)</f>
        <v>77212653.977065504</v>
      </c>
      <c r="U27" s="91"/>
      <c r="V27" s="334"/>
      <c r="W27" s="334"/>
      <c r="X27" s="91"/>
    </row>
    <row r="28" spans="1:24" s="159" customFormat="1">
      <c r="A28" s="302" t="s">
        <v>177</v>
      </c>
      <c r="B28" s="302" t="s">
        <v>204</v>
      </c>
      <c r="C28" s="327">
        <v>4</v>
      </c>
      <c r="D28" s="327">
        <f t="shared" si="14"/>
        <v>500</v>
      </c>
      <c r="E28" s="327">
        <f t="shared" si="10"/>
        <v>2000</v>
      </c>
      <c r="F28" s="141">
        <f t="shared" si="11"/>
        <v>152798</v>
      </c>
      <c r="G28" s="141">
        <f t="shared" ca="1" si="12"/>
        <v>164064.47</v>
      </c>
      <c r="H28" s="141">
        <f t="shared" ca="1" si="4"/>
        <v>11266.470000000001</v>
      </c>
      <c r="I28" s="512">
        <f t="shared" ca="1" si="5"/>
        <v>7.3734407518423026</v>
      </c>
      <c r="J28" s="141">
        <f t="shared" ca="1" si="6"/>
        <v>164064.47</v>
      </c>
      <c r="K28" s="141">
        <f t="shared" ca="1" si="13"/>
        <v>172011.82345339388</v>
      </c>
      <c r="L28" s="141">
        <f t="shared" ca="1" si="7"/>
        <v>7947.35345339388</v>
      </c>
      <c r="M28" s="512">
        <f t="shared" ca="1" si="8"/>
        <v>4.844042987122001</v>
      </c>
      <c r="N28" s="237" t="s">
        <v>217</v>
      </c>
      <c r="O28" s="102" t="s">
        <v>402</v>
      </c>
      <c r="P28" s="100" t="s">
        <v>7</v>
      </c>
      <c r="Q28" s="100" t="s">
        <v>176</v>
      </c>
      <c r="R28" s="100" t="s">
        <v>195</v>
      </c>
      <c r="S28" s="100" t="s">
        <v>208</v>
      </c>
      <c r="T28" s="100">
        <f>SUMIFS('Normalized Units'!I:I,'Normalized Units'!B:B,"Normalized Billing Units",'Normalized Units'!C:C,N$4,'Normalized Units'!D:D,P28,'Normalized Units'!E:E,Q28,'Normalized Units'!G:G,R28,'Normalized Units'!H:H,S28)</f>
        <v>121576649.19191363</v>
      </c>
      <c r="U28" s="91"/>
      <c r="V28" s="334"/>
      <c r="W28" s="334"/>
      <c r="X28" s="91"/>
    </row>
    <row r="29" spans="1:24" s="159" customFormat="1">
      <c r="A29" s="302" t="s">
        <v>177</v>
      </c>
      <c r="B29" s="302" t="s">
        <v>204</v>
      </c>
      <c r="C29" s="327">
        <v>4</v>
      </c>
      <c r="D29" s="327">
        <f t="shared" si="14"/>
        <v>700</v>
      </c>
      <c r="E29" s="327">
        <f t="shared" si="10"/>
        <v>2800</v>
      </c>
      <c r="F29" s="141">
        <f t="shared" si="11"/>
        <v>198390</v>
      </c>
      <c r="G29" s="141">
        <f t="shared" ca="1" si="12"/>
        <v>212976.47</v>
      </c>
      <c r="H29" s="141">
        <f t="shared" ca="1" si="4"/>
        <v>14586.470000000001</v>
      </c>
      <c r="I29" s="512">
        <f t="shared" ca="1" si="5"/>
        <v>7.3524219970764664</v>
      </c>
      <c r="J29" s="141">
        <f t="shared" ca="1" si="6"/>
        <v>212976.47</v>
      </c>
      <c r="K29" s="141">
        <f t="shared" ca="1" si="13"/>
        <v>223251.20883475145</v>
      </c>
      <c r="L29" s="141">
        <f t="shared" ca="1" si="7"/>
        <v>10274.73883475145</v>
      </c>
      <c r="M29" s="512">
        <f t="shared" ca="1" si="8"/>
        <v>4.8243539930732489</v>
      </c>
      <c r="N29" s="237" t="s">
        <v>217</v>
      </c>
      <c r="O29" s="102" t="s">
        <v>402</v>
      </c>
      <c r="P29" s="100" t="s">
        <v>7</v>
      </c>
      <c r="Q29" s="100" t="s">
        <v>176</v>
      </c>
      <c r="R29" s="100" t="s">
        <v>195</v>
      </c>
      <c r="S29" s="100" t="s">
        <v>201</v>
      </c>
      <c r="T29" s="100">
        <f>SUMIFS('Normalized Units'!I:I,'Normalized Units'!B:B,"Normalized Billing Units",'Normalized Units'!C:C,N$4,'Normalized Units'!D:D,P29,'Normalized Units'!E:E,Q29,'Normalized Units'!G:G,R29,'Normalized Units'!H:H,S29)</f>
        <v>108851</v>
      </c>
      <c r="U29" s="91"/>
      <c r="V29" s="334"/>
      <c r="W29" s="334"/>
      <c r="X29" s="91"/>
    </row>
    <row r="30" spans="1:24" s="159" customFormat="1">
      <c r="A30" s="302" t="s">
        <v>177</v>
      </c>
      <c r="B30" s="302" t="s">
        <v>204</v>
      </c>
      <c r="C30" s="327">
        <v>6</v>
      </c>
      <c r="D30" s="327">
        <f t="shared" si="14"/>
        <v>300</v>
      </c>
      <c r="E30" s="327">
        <f t="shared" si="10"/>
        <v>1800</v>
      </c>
      <c r="F30" s="141">
        <f t="shared" si="11"/>
        <v>160000</v>
      </c>
      <c r="G30" s="141">
        <f t="shared" ca="1" si="12"/>
        <v>171916.47</v>
      </c>
      <c r="H30" s="141">
        <f t="shared" ca="1" si="4"/>
        <v>11916.470000000001</v>
      </c>
      <c r="I30" s="512">
        <f t="shared" ca="1" si="5"/>
        <v>7.4477937500000007</v>
      </c>
      <c r="J30" s="141">
        <f t="shared" ca="1" si="6"/>
        <v>171916.47</v>
      </c>
      <c r="K30" s="141">
        <f t="shared" ca="1" si="13"/>
        <v>180361.9771080545</v>
      </c>
      <c r="L30" s="141">
        <f t="shared" ca="1" si="7"/>
        <v>8445.5071080545022</v>
      </c>
      <c r="M30" s="512">
        <f t="shared" ca="1" si="8"/>
        <v>4.9125642866297232</v>
      </c>
      <c r="N30" s="237" t="s">
        <v>217</v>
      </c>
      <c r="O30" s="102" t="s">
        <v>402</v>
      </c>
      <c r="P30" s="100" t="s">
        <v>7</v>
      </c>
      <c r="Q30" s="100" t="s">
        <v>177</v>
      </c>
      <c r="R30" s="100" t="s">
        <v>203</v>
      </c>
      <c r="S30" s="100" t="s">
        <v>335</v>
      </c>
      <c r="T30" s="100">
        <f>SUMIFS('Normalized Units'!I:I,'Normalized Units'!B:B,"Normalized Billing Units",'Normalized Units'!C:C,N$4,'Normalized Units'!D:D,P30,'Normalized Units'!E:E,Q30,'Normalized Units'!G:G,R30,'Normalized Units'!H:H,S30)</f>
        <v>12</v>
      </c>
      <c r="U30" s="91"/>
      <c r="V30" s="334"/>
      <c r="W30" s="334"/>
      <c r="X30" s="91"/>
    </row>
    <row r="31" spans="1:24" s="159" customFormat="1">
      <c r="A31" s="302" t="s">
        <v>177</v>
      </c>
      <c r="B31" s="302" t="s">
        <v>204</v>
      </c>
      <c r="C31" s="327">
        <v>6</v>
      </c>
      <c r="D31" s="327">
        <f t="shared" si="14"/>
        <v>500</v>
      </c>
      <c r="E31" s="327">
        <f t="shared" si="10"/>
        <v>3000</v>
      </c>
      <c r="F31" s="141">
        <f t="shared" si="11"/>
        <v>228388</v>
      </c>
      <c r="G31" s="141">
        <f t="shared" ca="1" si="12"/>
        <v>245284.46999999997</v>
      </c>
      <c r="H31" s="141">
        <f t="shared" ca="1" si="4"/>
        <v>16896.469999999972</v>
      </c>
      <c r="I31" s="512">
        <f t="shared" ca="1" si="5"/>
        <v>7.3981426344641461</v>
      </c>
      <c r="J31" s="141">
        <f t="shared" ca="1" si="6"/>
        <v>245284.46999999997</v>
      </c>
      <c r="K31" s="141">
        <f t="shared" ca="1" si="13"/>
        <v>257221.05518009086</v>
      </c>
      <c r="L31" s="141">
        <f t="shared" ca="1" si="7"/>
        <v>11936.585180090886</v>
      </c>
      <c r="M31" s="512">
        <f t="shared" ca="1" si="8"/>
        <v>4.8664251675170824</v>
      </c>
      <c r="N31" s="237" t="s">
        <v>217</v>
      </c>
      <c r="O31" s="102" t="s">
        <v>402</v>
      </c>
      <c r="P31" s="100" t="s">
        <v>7</v>
      </c>
      <c r="Q31" s="100" t="s">
        <v>177</v>
      </c>
      <c r="R31" s="100" t="s">
        <v>203</v>
      </c>
      <c r="S31" s="100" t="s">
        <v>281</v>
      </c>
      <c r="T31" s="100">
        <f>SUMIFS('Normalized Units'!I:I,'Normalized Units'!B:B,"Normalized Billing Units",'Normalized Units'!C:C,N$4,'Normalized Units'!D:D,P31,'Normalized Units'!E:E,Q31,'Normalized Units'!G:G,R31,'Normalized Units'!H:H,S31)</f>
        <v>1080</v>
      </c>
      <c r="U31" s="91"/>
      <c r="V31" s="334"/>
      <c r="W31" s="334"/>
      <c r="X31" s="91"/>
    </row>
    <row r="32" spans="1:24" s="159" customFormat="1">
      <c r="A32" s="306" t="s">
        <v>177</v>
      </c>
      <c r="B32" s="306" t="s">
        <v>204</v>
      </c>
      <c r="C32" s="310">
        <v>6</v>
      </c>
      <c r="D32" s="310">
        <f t="shared" si="14"/>
        <v>700</v>
      </c>
      <c r="E32" s="310">
        <f t="shared" si="10"/>
        <v>4200</v>
      </c>
      <c r="F32" s="142">
        <f t="shared" si="11"/>
        <v>296776</v>
      </c>
      <c r="G32" s="142">
        <f t="shared" ca="1" si="12"/>
        <v>318652.46999999997</v>
      </c>
      <c r="H32" s="142">
        <f t="shared" ca="1" si="4"/>
        <v>21876.469999999972</v>
      </c>
      <c r="I32" s="513">
        <f t="shared" ca="1" si="5"/>
        <v>7.37137436989513</v>
      </c>
      <c r="J32" s="142">
        <f t="shared" ca="1" si="6"/>
        <v>318652.46999999997</v>
      </c>
      <c r="K32" s="142">
        <f t="shared" ca="1" si="13"/>
        <v>334080.13325212715</v>
      </c>
      <c r="L32" s="142">
        <f t="shared" ca="1" si="7"/>
        <v>15427.663252127182</v>
      </c>
      <c r="M32" s="513">
        <f t="shared" ca="1" si="8"/>
        <v>4.841532611414304</v>
      </c>
      <c r="N32" s="237" t="s">
        <v>217</v>
      </c>
      <c r="O32" s="102" t="s">
        <v>402</v>
      </c>
      <c r="P32" s="100" t="s">
        <v>7</v>
      </c>
      <c r="Q32" s="100" t="s">
        <v>177</v>
      </c>
      <c r="R32" s="100" t="s">
        <v>195</v>
      </c>
      <c r="S32" s="100" t="s">
        <v>202</v>
      </c>
      <c r="T32" s="100">
        <f>SUMIFS('Normalized Units'!I:I,'Normalized Units'!B:B,"Normalized Billing Units",'Normalized Units'!C:C,N$4,'Normalized Units'!D:D,P32,'Normalized Units'!E:E,Q32,'Normalized Units'!G:G,R32,'Normalized Units'!H:H,S32)</f>
        <v>5999.9999999999991</v>
      </c>
      <c r="U32" s="91"/>
      <c r="V32" s="334"/>
      <c r="W32" s="334"/>
      <c r="X32" s="91"/>
    </row>
    <row r="33" spans="1:25" s="159" customFormat="1">
      <c r="A33" s="431" t="s">
        <v>510</v>
      </c>
      <c r="B33" s="432"/>
      <c r="C33" s="432"/>
      <c r="D33" s="432"/>
      <c r="E33" s="432"/>
      <c r="F33" s="433"/>
      <c r="G33" s="433"/>
      <c r="H33" s="433"/>
      <c r="I33" s="531"/>
      <c r="J33" s="433"/>
      <c r="K33" s="433"/>
      <c r="L33" s="433"/>
      <c r="M33" s="522"/>
      <c r="N33" s="237" t="s">
        <v>217</v>
      </c>
      <c r="O33" s="102" t="s">
        <v>402</v>
      </c>
      <c r="P33" s="100" t="s">
        <v>7</v>
      </c>
      <c r="Q33" s="100" t="s">
        <v>177</v>
      </c>
      <c r="R33" s="100" t="s">
        <v>195</v>
      </c>
      <c r="S33" s="100" t="s">
        <v>207</v>
      </c>
      <c r="T33" s="100">
        <f>SUMIFS('Normalized Units'!I:I,'Normalized Units'!B:B,"Normalized Billing Units",'Normalized Units'!C:C,N$4,'Normalized Units'!D:D,P33,'Normalized Units'!E:E,Q33,'Normalized Units'!G:G,R33,'Normalized Units'!H:H,S33)</f>
        <v>167400.11911145085</v>
      </c>
      <c r="U33" s="91"/>
      <c r="V33" s="334"/>
      <c r="W33" s="334"/>
      <c r="X33" s="91"/>
    </row>
    <row r="34" spans="1:25" s="159" customFormat="1">
      <c r="A34" s="331" t="s">
        <v>509</v>
      </c>
      <c r="B34" s="331" t="s">
        <v>195</v>
      </c>
      <c r="C34" s="309">
        <v>1</v>
      </c>
      <c r="D34" s="309">
        <f>D30</f>
        <v>300</v>
      </c>
      <c r="E34" s="309">
        <f t="shared" ref="E34:E45" si="15">C34*D34</f>
        <v>300</v>
      </c>
      <c r="F34" s="268">
        <f t="shared" ref="F34:F45" si="16">SUMIFS(T$36:T$51,Q$36:Q$51,A34,R$36:R$51,B34,S$36:S$51,"Bill")+(SUM(SUMIFS(T$36:T$51,Q$36:Q$51,A34,R$36:R$51,B34,S$36:S$51,"Load Size kW"),SUMIFS(T$36:T$51,Q$36:Q$51,A34,S$36:S$51,"kW"))*C34+SUMIFS(U$36:U$51,Q$36:Q$51,A34,S$36:S$51,"kWh*")*E34)*1000</f>
        <v>0</v>
      </c>
      <c r="G34" s="268">
        <f t="shared" ref="G34:G45" ca="1" si="17">SUMIFS(T$92:T$113,Q$92:Q$113,A34,R$92:R$113,B34,S$92:S$113,"Bill")+(SUM(SUMIFS(T$92:T$113,Q$92:Q$113,A34,R$92:R$113,B34,S$92:S$113,"Load Size kW"),SUMIFS(T$92:T$113,Q$92:Q$113,A34,S$92:S$113,"kW"))*C34+SUMIFS(AC$92:AC$113,Q$92:Q$113,A34,S$92:S$113,"kWh*")*E34)*1000</f>
        <v>29173.57</v>
      </c>
      <c r="H34" s="268">
        <f t="shared" ca="1" si="4"/>
        <v>29173.57</v>
      </c>
      <c r="I34" s="517">
        <f t="shared" ca="1" si="5"/>
        <v>100</v>
      </c>
      <c r="J34" s="268">
        <f t="shared" ca="1" si="6"/>
        <v>29173.57</v>
      </c>
      <c r="K34" s="268">
        <f t="shared" ref="K34:K45" ca="1" si="18">SUMIFS(T$158:T$179,Q$158:Q$179,A34,R$158:R$179,B34,S$158:S$179,"Bill")+(SUM(SUMIFS(T$158:T$179,Q$158:Q$179,A34,R$158:R$179,B34,S$158:S$179,"Load Size kW"),SUMIFS(T$158:T$179,Q$158:Q$179,A34,S$158:S$179,"kW"))*C34+SUMIFS(AC$158:AC$179,Q$158:Q$179,A34,S$158:S$179,"kWh*")*E34)*1000</f>
        <v>31458.93</v>
      </c>
      <c r="L34" s="268">
        <f t="shared" ca="1" si="7"/>
        <v>2285.3600000000006</v>
      </c>
      <c r="M34" s="517">
        <f t="shared" ca="1" si="8"/>
        <v>7.8336658831949624</v>
      </c>
      <c r="N34" s="237" t="s">
        <v>217</v>
      </c>
      <c r="O34" s="102" t="s">
        <v>402</v>
      </c>
      <c r="P34" s="100" t="s">
        <v>7</v>
      </c>
      <c r="Q34" s="100" t="s">
        <v>177</v>
      </c>
      <c r="R34" s="100" t="s">
        <v>195</v>
      </c>
      <c r="S34" s="100" t="s">
        <v>208</v>
      </c>
      <c r="T34" s="100">
        <f>SUMIFS('Normalized Units'!I:I,'Normalized Units'!B:B,"Normalized Billing Units",'Normalized Units'!C:C,N$4,'Normalized Units'!D:D,P34,'Normalized Units'!E:E,Q34,'Normalized Units'!G:G,R34,'Normalized Units'!H:H,S34)</f>
        <v>266399.6814608078</v>
      </c>
      <c r="U34" s="91"/>
      <c r="V34" s="334"/>
      <c r="W34" s="334"/>
      <c r="X34" s="91"/>
    </row>
    <row r="35" spans="1:25" s="159" customFormat="1">
      <c r="A35" s="302" t="s">
        <v>509</v>
      </c>
      <c r="B35" s="302" t="s">
        <v>195</v>
      </c>
      <c r="C35" s="327">
        <v>1</v>
      </c>
      <c r="D35" s="327">
        <f>D31</f>
        <v>500</v>
      </c>
      <c r="E35" s="327">
        <f t="shared" si="15"/>
        <v>500</v>
      </c>
      <c r="F35" s="141">
        <f t="shared" si="16"/>
        <v>0</v>
      </c>
      <c r="G35" s="141">
        <f t="shared" ca="1" si="17"/>
        <v>39865.57</v>
      </c>
      <c r="H35" s="141">
        <f t="shared" ca="1" si="4"/>
        <v>39865.57</v>
      </c>
      <c r="I35" s="512">
        <f t="shared" ca="1" si="5"/>
        <v>100</v>
      </c>
      <c r="J35" s="141">
        <f t="shared" ca="1" si="6"/>
        <v>39865.57</v>
      </c>
      <c r="K35" s="141">
        <f t="shared" ca="1" si="18"/>
        <v>42664.93</v>
      </c>
      <c r="L35" s="141">
        <f t="shared" ca="1" si="7"/>
        <v>2799.3600000000006</v>
      </c>
      <c r="M35" s="512">
        <f t="shared" ca="1" si="8"/>
        <v>7.0219991837568125</v>
      </c>
      <c r="N35" s="263" t="s">
        <v>217</v>
      </c>
      <c r="O35" s="150" t="s">
        <v>402</v>
      </c>
      <c r="P35" s="152" t="s">
        <v>7</v>
      </c>
      <c r="Q35" s="152" t="s">
        <v>177</v>
      </c>
      <c r="R35" s="152" t="s">
        <v>195</v>
      </c>
      <c r="S35" s="152" t="s">
        <v>201</v>
      </c>
      <c r="T35" s="152">
        <f>SUMIFS('Normalized Units'!I:I,'Normalized Units'!B:B,"Normalized Billing Units",'Normalized Units'!C:C,N$4,'Normalized Units'!D:D,P35,'Normalized Units'!E:E,Q35,'Normalized Units'!G:G,R35,'Normalized Units'!H:H,S35)</f>
        <v>601</v>
      </c>
      <c r="U35" s="91"/>
      <c r="V35" s="334"/>
      <c r="W35" s="334"/>
      <c r="X35" s="91"/>
    </row>
    <row r="36" spans="1:25" s="140" customFormat="1">
      <c r="A36" s="390" t="s">
        <v>509</v>
      </c>
      <c r="B36" s="390" t="s">
        <v>195</v>
      </c>
      <c r="C36" s="227">
        <v>1</v>
      </c>
      <c r="D36" s="227">
        <f>D32</f>
        <v>700</v>
      </c>
      <c r="E36" s="327">
        <f t="shared" si="15"/>
        <v>700</v>
      </c>
      <c r="F36" s="141">
        <f t="shared" si="16"/>
        <v>0</v>
      </c>
      <c r="G36" s="141">
        <f t="shared" ca="1" si="17"/>
        <v>50557.569999999992</v>
      </c>
      <c r="H36" s="141">
        <f t="shared" ca="1" si="4"/>
        <v>50557.569999999992</v>
      </c>
      <c r="I36" s="512">
        <f t="shared" ca="1" si="5"/>
        <v>100</v>
      </c>
      <c r="J36" s="141">
        <f t="shared" ca="1" si="6"/>
        <v>50557.569999999992</v>
      </c>
      <c r="K36" s="141">
        <f t="shared" ca="1" si="18"/>
        <v>53870.930000000008</v>
      </c>
      <c r="L36" s="141">
        <f t="shared" ca="1" si="7"/>
        <v>3313.3600000000151</v>
      </c>
      <c r="M36" s="512">
        <f t="shared" ca="1" si="8"/>
        <v>6.5536377638403422</v>
      </c>
      <c r="N36" s="145" t="s">
        <v>406</v>
      </c>
      <c r="O36" s="145" t="s">
        <v>403</v>
      </c>
      <c r="P36" s="144" t="s">
        <v>195</v>
      </c>
      <c r="Q36" s="144" t="s">
        <v>176</v>
      </c>
      <c r="R36" s="144" t="s">
        <v>203</v>
      </c>
      <c r="S36" s="145" t="s">
        <v>335</v>
      </c>
      <c r="T36" s="323">
        <v>1313</v>
      </c>
      <c r="U36" s="326"/>
      <c r="V36" s="335"/>
      <c r="W36" s="335"/>
      <c r="X36" s="355"/>
    </row>
    <row r="37" spans="1:25" s="140" customFormat="1">
      <c r="A37" s="302" t="s">
        <v>509</v>
      </c>
      <c r="B37" s="302" t="s">
        <v>195</v>
      </c>
      <c r="C37" s="327">
        <v>2</v>
      </c>
      <c r="D37" s="327">
        <f t="shared" ref="D37:D45" si="19">D34</f>
        <v>300</v>
      </c>
      <c r="E37" s="327">
        <f t="shared" si="15"/>
        <v>600</v>
      </c>
      <c r="F37" s="141">
        <f t="shared" si="16"/>
        <v>0</v>
      </c>
      <c r="G37" s="141">
        <f t="shared" ca="1" si="17"/>
        <v>54721.57</v>
      </c>
      <c r="H37" s="141">
        <f t="shared" ca="1" si="4"/>
        <v>54721.57</v>
      </c>
      <c r="I37" s="512">
        <f t="shared" ca="1" si="5"/>
        <v>100</v>
      </c>
      <c r="J37" s="141">
        <f t="shared" ca="1" si="6"/>
        <v>54721.57</v>
      </c>
      <c r="K37" s="141">
        <f t="shared" ca="1" si="18"/>
        <v>58717.93</v>
      </c>
      <c r="L37" s="141">
        <f t="shared" ca="1" si="7"/>
        <v>3996.3600000000006</v>
      </c>
      <c r="M37" s="512">
        <f t="shared" ca="1" si="8"/>
        <v>7.3030799372167152</v>
      </c>
      <c r="N37" s="102" t="s">
        <v>406</v>
      </c>
      <c r="O37" s="102" t="s">
        <v>403</v>
      </c>
      <c r="P37" s="100" t="s">
        <v>195</v>
      </c>
      <c r="Q37" s="100" t="s">
        <v>176</v>
      </c>
      <c r="R37" s="100" t="s">
        <v>203</v>
      </c>
      <c r="S37" s="100" t="s">
        <v>281</v>
      </c>
      <c r="T37" s="324">
        <v>1.22</v>
      </c>
      <c r="U37" s="326"/>
      <c r="V37" s="335"/>
      <c r="W37" s="335"/>
      <c r="X37" s="355"/>
    </row>
    <row r="38" spans="1:25" s="140" customFormat="1">
      <c r="A38" s="302" t="s">
        <v>509</v>
      </c>
      <c r="B38" s="302" t="s">
        <v>195</v>
      </c>
      <c r="C38" s="327">
        <v>2</v>
      </c>
      <c r="D38" s="327">
        <f t="shared" si="19"/>
        <v>500</v>
      </c>
      <c r="E38" s="327">
        <f t="shared" si="15"/>
        <v>1000</v>
      </c>
      <c r="F38" s="141">
        <f t="shared" si="16"/>
        <v>0</v>
      </c>
      <c r="G38" s="141">
        <f t="shared" ca="1" si="17"/>
        <v>76105.570000000007</v>
      </c>
      <c r="H38" s="141">
        <f t="shared" ca="1" si="4"/>
        <v>76105.570000000007</v>
      </c>
      <c r="I38" s="512">
        <f t="shared" ca="1" si="5"/>
        <v>100</v>
      </c>
      <c r="J38" s="141">
        <f t="shared" ca="1" si="6"/>
        <v>76105.570000000007</v>
      </c>
      <c r="K38" s="141">
        <f t="shared" ca="1" si="18"/>
        <v>81129.929999999993</v>
      </c>
      <c r="L38" s="141">
        <f t="shared" ca="1" si="7"/>
        <v>5024.359999999986</v>
      </c>
      <c r="M38" s="512">
        <f t="shared" ca="1" si="8"/>
        <v>6.6018295375752194</v>
      </c>
      <c r="N38" s="102" t="s">
        <v>406</v>
      </c>
      <c r="O38" s="102" t="s">
        <v>403</v>
      </c>
      <c r="P38" s="100" t="s">
        <v>195</v>
      </c>
      <c r="Q38" s="100" t="s">
        <v>176</v>
      </c>
      <c r="R38" s="100" t="s">
        <v>204</v>
      </c>
      <c r="S38" s="102" t="s">
        <v>335</v>
      </c>
      <c r="T38" s="324">
        <v>1587</v>
      </c>
      <c r="U38" s="326"/>
      <c r="V38" s="335"/>
      <c r="W38" s="335"/>
      <c r="X38" s="355"/>
    </row>
    <row r="39" spans="1:25" s="140" customFormat="1">
      <c r="A39" s="302" t="s">
        <v>509</v>
      </c>
      <c r="B39" s="302" t="s">
        <v>195</v>
      </c>
      <c r="C39" s="327">
        <v>2</v>
      </c>
      <c r="D39" s="327">
        <f t="shared" si="19"/>
        <v>700</v>
      </c>
      <c r="E39" s="327">
        <f t="shared" si="15"/>
        <v>1400</v>
      </c>
      <c r="F39" s="141">
        <f t="shared" si="16"/>
        <v>0</v>
      </c>
      <c r="G39" s="141">
        <f t="shared" ca="1" si="17"/>
        <v>97489.569999999992</v>
      </c>
      <c r="H39" s="141">
        <f t="shared" ca="1" si="4"/>
        <v>97489.569999999992</v>
      </c>
      <c r="I39" s="512">
        <f t="shared" ca="1" si="5"/>
        <v>100</v>
      </c>
      <c r="J39" s="141">
        <f t="shared" ca="1" si="6"/>
        <v>97489.569999999992</v>
      </c>
      <c r="K39" s="141">
        <f t="shared" ca="1" si="18"/>
        <v>103541.93000000002</v>
      </c>
      <c r="L39" s="141">
        <f t="shared" ca="1" si="7"/>
        <v>6052.3600000000297</v>
      </c>
      <c r="M39" s="512">
        <f t="shared" ca="1" si="8"/>
        <v>6.2082128375374213</v>
      </c>
      <c r="N39" s="102" t="s">
        <v>406</v>
      </c>
      <c r="O39" s="102" t="s">
        <v>403</v>
      </c>
      <c r="P39" s="100" t="s">
        <v>195</v>
      </c>
      <c r="Q39" s="100" t="s">
        <v>176</v>
      </c>
      <c r="R39" s="100" t="s">
        <v>204</v>
      </c>
      <c r="S39" s="100" t="s">
        <v>281</v>
      </c>
      <c r="T39" s="324">
        <v>1.0900000000000001</v>
      </c>
      <c r="U39" s="326"/>
      <c r="V39" s="335"/>
      <c r="W39" s="335"/>
      <c r="X39" s="355"/>
    </row>
    <row r="40" spans="1:25" s="140" customFormat="1">
      <c r="A40" s="302" t="s">
        <v>509</v>
      </c>
      <c r="B40" s="302" t="s">
        <v>195</v>
      </c>
      <c r="C40" s="327">
        <v>4</v>
      </c>
      <c r="D40" s="327">
        <f t="shared" si="19"/>
        <v>300</v>
      </c>
      <c r="E40" s="327">
        <f t="shared" si="15"/>
        <v>1200</v>
      </c>
      <c r="F40" s="141">
        <f t="shared" si="16"/>
        <v>0</v>
      </c>
      <c r="G40" s="141">
        <f t="shared" ca="1" si="17"/>
        <v>105817.57</v>
      </c>
      <c r="H40" s="141">
        <f t="shared" ca="1" si="4"/>
        <v>105817.57</v>
      </c>
      <c r="I40" s="512">
        <f t="shared" ca="1" si="5"/>
        <v>100</v>
      </c>
      <c r="J40" s="141">
        <f t="shared" ca="1" si="6"/>
        <v>105817.57</v>
      </c>
      <c r="K40" s="141">
        <f t="shared" ca="1" si="18"/>
        <v>113235.93</v>
      </c>
      <c r="L40" s="141">
        <f t="shared" ca="1" si="7"/>
        <v>7418.359999999986</v>
      </c>
      <c r="M40" s="512">
        <f t="shared" ca="1" si="8"/>
        <v>7.0105181965527894</v>
      </c>
      <c r="N40" s="102" t="s">
        <v>406</v>
      </c>
      <c r="O40" s="102" t="s">
        <v>403</v>
      </c>
      <c r="P40" s="100" t="s">
        <v>195</v>
      </c>
      <c r="Q40" s="100" t="s">
        <v>176</v>
      </c>
      <c r="R40" s="100" t="s">
        <v>195</v>
      </c>
      <c r="S40" s="100" t="s">
        <v>202</v>
      </c>
      <c r="T40" s="324">
        <v>8.73</v>
      </c>
      <c r="U40" s="326"/>
      <c r="V40" s="335"/>
      <c r="W40" s="335"/>
      <c r="X40" s="355"/>
    </row>
    <row r="41" spans="1:25" s="140" customFormat="1">
      <c r="A41" s="302" t="s">
        <v>509</v>
      </c>
      <c r="B41" s="302" t="s">
        <v>195</v>
      </c>
      <c r="C41" s="327">
        <v>4</v>
      </c>
      <c r="D41" s="327">
        <f t="shared" si="19"/>
        <v>500</v>
      </c>
      <c r="E41" s="327">
        <f t="shared" si="15"/>
        <v>2000</v>
      </c>
      <c r="F41" s="141">
        <f t="shared" si="16"/>
        <v>0</v>
      </c>
      <c r="G41" s="141">
        <f t="shared" ca="1" si="17"/>
        <v>148585.57</v>
      </c>
      <c r="H41" s="141">
        <f t="shared" ca="1" si="4"/>
        <v>148585.57</v>
      </c>
      <c r="I41" s="512">
        <f t="shared" ca="1" si="5"/>
        <v>100</v>
      </c>
      <c r="J41" s="141">
        <f t="shared" ca="1" si="6"/>
        <v>148585.57</v>
      </c>
      <c r="K41" s="141">
        <f t="shared" ca="1" si="18"/>
        <v>158059.93</v>
      </c>
      <c r="L41" s="141">
        <f t="shared" ca="1" si="7"/>
        <v>9474.359999999986</v>
      </c>
      <c r="M41" s="512">
        <f t="shared" ca="1" si="8"/>
        <v>6.3763661572250827</v>
      </c>
      <c r="N41" s="102" t="s">
        <v>406</v>
      </c>
      <c r="O41" s="102" t="s">
        <v>403</v>
      </c>
      <c r="P41" s="100" t="s">
        <v>195</v>
      </c>
      <c r="Q41" s="100" t="s">
        <v>176</v>
      </c>
      <c r="R41" s="100" t="s">
        <v>195</v>
      </c>
      <c r="S41" s="100" t="s">
        <v>207</v>
      </c>
      <c r="T41" s="324">
        <v>6.318E-2</v>
      </c>
      <c r="U41" s="326"/>
      <c r="V41" s="335"/>
      <c r="W41" s="335"/>
      <c r="X41" s="355"/>
    </row>
    <row r="42" spans="1:25" s="140" customFormat="1">
      <c r="A42" s="302" t="s">
        <v>509</v>
      </c>
      <c r="B42" s="302" t="s">
        <v>195</v>
      </c>
      <c r="C42" s="327">
        <v>4</v>
      </c>
      <c r="D42" s="327">
        <f t="shared" si="19"/>
        <v>700</v>
      </c>
      <c r="E42" s="327">
        <f t="shared" si="15"/>
        <v>2800</v>
      </c>
      <c r="F42" s="141">
        <f t="shared" si="16"/>
        <v>0</v>
      </c>
      <c r="G42" s="141">
        <f t="shared" ca="1" si="17"/>
        <v>191353.56999999998</v>
      </c>
      <c r="H42" s="141">
        <f t="shared" ca="1" si="4"/>
        <v>191353.56999999998</v>
      </c>
      <c r="I42" s="512">
        <f t="shared" ca="1" si="5"/>
        <v>100</v>
      </c>
      <c r="J42" s="141">
        <f t="shared" ca="1" si="6"/>
        <v>191353.56999999998</v>
      </c>
      <c r="K42" s="141">
        <f t="shared" ca="1" si="18"/>
        <v>202883.93000000002</v>
      </c>
      <c r="L42" s="141">
        <f t="shared" ca="1" si="7"/>
        <v>11530.360000000044</v>
      </c>
      <c r="M42" s="512">
        <f t="shared" ca="1" si="8"/>
        <v>6.0256832417602899</v>
      </c>
      <c r="N42" s="102" t="s">
        <v>406</v>
      </c>
      <c r="O42" s="102" t="s">
        <v>403</v>
      </c>
      <c r="P42" s="100" t="s">
        <v>195</v>
      </c>
      <c r="Q42" s="100" t="s">
        <v>176</v>
      </c>
      <c r="R42" s="100" t="s">
        <v>195</v>
      </c>
      <c r="S42" s="100" t="s">
        <v>208</v>
      </c>
      <c r="T42" s="324">
        <v>5.3850000000000002E-2</v>
      </c>
      <c r="U42" s="391">
        <f>ROUND(18875456.7440604/328149970.819057,5)</f>
        <v>5.7520000000000002E-2</v>
      </c>
      <c r="V42" s="335"/>
      <c r="W42" s="335"/>
      <c r="X42" s="355"/>
      <c r="Y42" s="311"/>
    </row>
    <row r="43" spans="1:25" s="140" customFormat="1">
      <c r="A43" s="302" t="s">
        <v>509</v>
      </c>
      <c r="B43" s="302" t="s">
        <v>195</v>
      </c>
      <c r="C43" s="327">
        <v>6</v>
      </c>
      <c r="D43" s="327">
        <f t="shared" si="19"/>
        <v>300</v>
      </c>
      <c r="E43" s="327">
        <f t="shared" si="15"/>
        <v>1800</v>
      </c>
      <c r="F43" s="141">
        <f t="shared" si="16"/>
        <v>0</v>
      </c>
      <c r="G43" s="141">
        <f t="shared" ca="1" si="17"/>
        <v>156913.57</v>
      </c>
      <c r="H43" s="141">
        <f t="shared" ca="1" si="4"/>
        <v>156913.57</v>
      </c>
      <c r="I43" s="512">
        <f t="shared" ca="1" si="5"/>
        <v>100</v>
      </c>
      <c r="J43" s="141">
        <f t="shared" ca="1" si="6"/>
        <v>156913.57</v>
      </c>
      <c r="K43" s="141">
        <f t="shared" ca="1" si="18"/>
        <v>167753.93</v>
      </c>
      <c r="L43" s="141">
        <f t="shared" ca="1" si="7"/>
        <v>10840.359999999986</v>
      </c>
      <c r="M43" s="512">
        <f t="shared" ca="1" si="8"/>
        <v>6.9084910884380406</v>
      </c>
      <c r="N43" s="102" t="s">
        <v>406</v>
      </c>
      <c r="O43" s="102" t="s">
        <v>403</v>
      </c>
      <c r="P43" s="100" t="s">
        <v>195</v>
      </c>
      <c r="Q43" s="100" t="s">
        <v>176</v>
      </c>
      <c r="R43" s="100" t="s">
        <v>195</v>
      </c>
      <c r="S43" s="100" t="s">
        <v>201</v>
      </c>
      <c r="T43" s="324">
        <v>0.56999999999999995</v>
      </c>
      <c r="U43" s="326"/>
      <c r="V43" s="335"/>
      <c r="W43" s="335"/>
      <c r="X43" s="355"/>
    </row>
    <row r="44" spans="1:25" s="140" customFormat="1">
      <c r="A44" s="302" t="s">
        <v>509</v>
      </c>
      <c r="B44" s="302" t="s">
        <v>195</v>
      </c>
      <c r="C44" s="327">
        <v>6</v>
      </c>
      <c r="D44" s="327">
        <f t="shared" si="19"/>
        <v>500</v>
      </c>
      <c r="E44" s="327">
        <f t="shared" si="15"/>
        <v>3000</v>
      </c>
      <c r="F44" s="141">
        <f t="shared" si="16"/>
        <v>0</v>
      </c>
      <c r="G44" s="141">
        <f t="shared" ca="1" si="17"/>
        <v>221065.57</v>
      </c>
      <c r="H44" s="141">
        <f t="shared" ca="1" si="4"/>
        <v>221065.57</v>
      </c>
      <c r="I44" s="512">
        <f t="shared" ca="1" si="5"/>
        <v>100</v>
      </c>
      <c r="J44" s="141">
        <f t="shared" ca="1" si="6"/>
        <v>221065.57</v>
      </c>
      <c r="K44" s="141">
        <f t="shared" ca="1" si="18"/>
        <v>234989.93</v>
      </c>
      <c r="L44" s="141">
        <f t="shared" ca="1" si="7"/>
        <v>13924.359999999986</v>
      </c>
      <c r="M44" s="512">
        <f t="shared" ca="1" si="8"/>
        <v>6.2987465664598909</v>
      </c>
      <c r="N44" s="102" t="s">
        <v>406</v>
      </c>
      <c r="O44" s="102" t="s">
        <v>403</v>
      </c>
      <c r="P44" s="100" t="s">
        <v>195</v>
      </c>
      <c r="Q44" s="100" t="s">
        <v>177</v>
      </c>
      <c r="R44" s="100" t="s">
        <v>203</v>
      </c>
      <c r="S44" s="102" t="s">
        <v>335</v>
      </c>
      <c r="T44" s="324">
        <v>1344</v>
      </c>
      <c r="U44" s="326"/>
      <c r="V44" s="335"/>
      <c r="W44" s="335"/>
      <c r="X44" s="355"/>
    </row>
    <row r="45" spans="1:25" s="140" customFormat="1">
      <c r="A45" s="306" t="s">
        <v>509</v>
      </c>
      <c r="B45" s="306" t="s">
        <v>195</v>
      </c>
      <c r="C45" s="310">
        <v>6</v>
      </c>
      <c r="D45" s="310">
        <f t="shared" si="19"/>
        <v>700</v>
      </c>
      <c r="E45" s="310">
        <f t="shared" si="15"/>
        <v>4200</v>
      </c>
      <c r="F45" s="142">
        <f t="shared" si="16"/>
        <v>0</v>
      </c>
      <c r="G45" s="142">
        <f t="shared" ca="1" si="17"/>
        <v>285217.57</v>
      </c>
      <c r="H45" s="142">
        <f t="shared" ca="1" si="4"/>
        <v>285217.57</v>
      </c>
      <c r="I45" s="513">
        <f t="shared" ca="1" si="5"/>
        <v>100</v>
      </c>
      <c r="J45" s="142">
        <f t="shared" ca="1" si="6"/>
        <v>285217.57</v>
      </c>
      <c r="K45" s="142">
        <f t="shared" ca="1" si="18"/>
        <v>302225.93</v>
      </c>
      <c r="L45" s="142">
        <f t="shared" ca="1" si="7"/>
        <v>17008.359999999986</v>
      </c>
      <c r="M45" s="513">
        <f t="shared" ca="1" si="8"/>
        <v>5.9632932150708617</v>
      </c>
      <c r="N45" s="102" t="s">
        <v>406</v>
      </c>
      <c r="O45" s="102" t="s">
        <v>403</v>
      </c>
      <c r="P45" s="100" t="s">
        <v>195</v>
      </c>
      <c r="Q45" s="100" t="s">
        <v>177</v>
      </c>
      <c r="R45" s="100" t="s">
        <v>203</v>
      </c>
      <c r="S45" s="100" t="s">
        <v>281</v>
      </c>
      <c r="T45" s="324">
        <v>0.61</v>
      </c>
      <c r="U45" s="326"/>
      <c r="V45" s="335"/>
      <c r="W45" s="335"/>
      <c r="X45" s="355"/>
    </row>
    <row r="46" spans="1:25" s="140" customFormat="1">
      <c r="A46" s="431" t="s">
        <v>510</v>
      </c>
      <c r="B46" s="432"/>
      <c r="C46" s="432"/>
      <c r="D46" s="432"/>
      <c r="E46" s="432"/>
      <c r="F46" s="433"/>
      <c r="G46" s="433"/>
      <c r="H46" s="433"/>
      <c r="I46" s="531"/>
      <c r="J46" s="433"/>
      <c r="K46" s="433"/>
      <c r="L46" s="433"/>
      <c r="M46" s="522"/>
      <c r="N46" s="102" t="s">
        <v>406</v>
      </c>
      <c r="O46" s="102" t="s">
        <v>403</v>
      </c>
      <c r="P46" s="100" t="s">
        <v>195</v>
      </c>
      <c r="Q46" s="100" t="s">
        <v>177</v>
      </c>
      <c r="R46" s="100" t="s">
        <v>204</v>
      </c>
      <c r="S46" s="102" t="s">
        <v>335</v>
      </c>
      <c r="T46" s="324">
        <v>1618</v>
      </c>
      <c r="U46" s="326"/>
      <c r="V46" s="335"/>
      <c r="W46" s="335"/>
      <c r="X46" s="355"/>
    </row>
    <row r="47" spans="1:25" s="140" customFormat="1">
      <c r="N47" s="102" t="s">
        <v>406</v>
      </c>
      <c r="O47" s="102" t="s">
        <v>403</v>
      </c>
      <c r="P47" s="100" t="s">
        <v>195</v>
      </c>
      <c r="Q47" s="100" t="s">
        <v>177</v>
      </c>
      <c r="R47" s="100" t="s">
        <v>204</v>
      </c>
      <c r="S47" s="100" t="s">
        <v>281</v>
      </c>
      <c r="T47" s="324">
        <v>0.5</v>
      </c>
      <c r="U47" s="326"/>
      <c r="V47" s="335"/>
      <c r="W47" s="335"/>
      <c r="X47" s="355"/>
    </row>
    <row r="48" spans="1:25" s="140" customFormat="1">
      <c r="N48" s="102" t="s">
        <v>406</v>
      </c>
      <c r="O48" s="102" t="s">
        <v>403</v>
      </c>
      <c r="P48" s="100" t="s">
        <v>195</v>
      </c>
      <c r="Q48" s="100" t="s">
        <v>177</v>
      </c>
      <c r="R48" s="100" t="s">
        <v>195</v>
      </c>
      <c r="S48" s="100" t="s">
        <v>202</v>
      </c>
      <c r="T48" s="324">
        <v>8.8000000000000007</v>
      </c>
      <c r="U48" s="326"/>
      <c r="V48" s="335"/>
      <c r="W48" s="335"/>
      <c r="X48" s="355"/>
    </row>
    <row r="49" spans="4:25" s="140" customFormat="1">
      <c r="N49" s="102" t="s">
        <v>406</v>
      </c>
      <c r="O49" s="102" t="s">
        <v>403</v>
      </c>
      <c r="P49" s="100" t="s">
        <v>195</v>
      </c>
      <c r="Q49" s="100" t="s">
        <v>177</v>
      </c>
      <c r="R49" s="100" t="s">
        <v>195</v>
      </c>
      <c r="S49" s="100" t="s">
        <v>207</v>
      </c>
      <c r="T49" s="324">
        <v>6.2579999999999997E-2</v>
      </c>
      <c r="U49" s="326"/>
      <c r="V49" s="335"/>
      <c r="W49" s="335"/>
      <c r="X49" s="355"/>
    </row>
    <row r="50" spans="4:25" s="140" customFormat="1">
      <c r="N50" s="102" t="s">
        <v>406</v>
      </c>
      <c r="O50" s="102" t="s">
        <v>403</v>
      </c>
      <c r="P50" s="100" t="s">
        <v>195</v>
      </c>
      <c r="Q50" s="100" t="s">
        <v>177</v>
      </c>
      <c r="R50" s="100" t="s">
        <v>195</v>
      </c>
      <c r="S50" s="100" t="s">
        <v>208</v>
      </c>
      <c r="T50" s="324">
        <v>5.3249999999999999E-2</v>
      </c>
      <c r="U50" s="391">
        <f>ROUND(3788115.84610862/66470622.8092966,5)</f>
        <v>5.6989999999999999E-2</v>
      </c>
      <c r="V50" s="335"/>
      <c r="W50" s="335"/>
      <c r="X50" s="355"/>
      <c r="Y50" s="311"/>
    </row>
    <row r="51" spans="4:25" s="140" customFormat="1">
      <c r="N51" s="150" t="s">
        <v>406</v>
      </c>
      <c r="O51" s="150" t="s">
        <v>403</v>
      </c>
      <c r="P51" s="152" t="s">
        <v>195</v>
      </c>
      <c r="Q51" s="152" t="s">
        <v>177</v>
      </c>
      <c r="R51" s="152" t="s">
        <v>195</v>
      </c>
      <c r="S51" s="152" t="s">
        <v>201</v>
      </c>
      <c r="T51" s="325">
        <v>0.56000000000000005</v>
      </c>
      <c r="U51" s="326"/>
      <c r="V51" s="335"/>
      <c r="W51" s="335"/>
      <c r="X51" s="355"/>
    </row>
    <row r="52" spans="4:25" s="140" customFormat="1">
      <c r="N52" s="145" t="s">
        <v>406</v>
      </c>
      <c r="O52" s="145" t="s">
        <v>29</v>
      </c>
      <c r="P52" s="146" t="s">
        <v>5</v>
      </c>
      <c r="Q52" s="146" t="s">
        <v>176</v>
      </c>
      <c r="R52" s="146" t="s">
        <v>203</v>
      </c>
      <c r="S52" s="146" t="s">
        <v>335</v>
      </c>
      <c r="T52" s="220">
        <f>T8*T36</f>
        <v>464364.33333333326</v>
      </c>
      <c r="U52" s="158"/>
      <c r="V52" s="81"/>
      <c r="W52" s="81"/>
      <c r="Y52" s="158"/>
    </row>
    <row r="53" spans="4:25" s="140" customFormat="1">
      <c r="N53" s="102" t="s">
        <v>406</v>
      </c>
      <c r="O53" s="102" t="s">
        <v>29</v>
      </c>
      <c r="P53" s="148" t="s">
        <v>5</v>
      </c>
      <c r="Q53" s="148" t="s">
        <v>176</v>
      </c>
      <c r="R53" s="148" t="s">
        <v>203</v>
      </c>
      <c r="S53" s="148" t="s">
        <v>281</v>
      </c>
      <c r="T53" s="217">
        <f>T9*T37</f>
        <v>505049.4966666667</v>
      </c>
      <c r="U53" s="158"/>
      <c r="V53" s="81"/>
      <c r="W53" s="81"/>
      <c r="X53" s="158"/>
      <c r="Y53" s="158"/>
    </row>
    <row r="54" spans="4:25" s="140" customFormat="1">
      <c r="N54" s="102" t="s">
        <v>406</v>
      </c>
      <c r="O54" s="102" t="s">
        <v>29</v>
      </c>
      <c r="P54" s="148" t="s">
        <v>5</v>
      </c>
      <c r="Q54" s="148" t="s">
        <v>176</v>
      </c>
      <c r="R54" s="148" t="s">
        <v>195</v>
      </c>
      <c r="S54" s="148" t="s">
        <v>202</v>
      </c>
      <c r="T54" s="217">
        <f>T10*T40</f>
        <v>2548106.5800000005</v>
      </c>
      <c r="U54" s="158"/>
      <c r="V54" s="81"/>
      <c r="W54" s="81"/>
      <c r="X54" s="158"/>
      <c r="Y54" s="158"/>
    </row>
    <row r="55" spans="4:25" s="140" customFormat="1">
      <c r="N55" s="102" t="s">
        <v>406</v>
      </c>
      <c r="O55" s="102" t="s">
        <v>29</v>
      </c>
      <c r="P55" s="148" t="s">
        <v>5</v>
      </c>
      <c r="Q55" s="148" t="s">
        <v>176</v>
      </c>
      <c r="R55" s="148" t="s">
        <v>195</v>
      </c>
      <c r="S55" s="148" t="s">
        <v>207</v>
      </c>
      <c r="T55" s="217">
        <f>T11*T41</f>
        <v>3105508.64195135</v>
      </c>
      <c r="U55" s="158"/>
      <c r="V55" s="81"/>
      <c r="W55" s="81"/>
      <c r="X55" s="158"/>
      <c r="Y55" s="158"/>
    </row>
    <row r="56" spans="4:25" s="140" customFormat="1">
      <c r="N56" s="102" t="s">
        <v>406</v>
      </c>
      <c r="O56" s="102" t="s">
        <v>29</v>
      </c>
      <c r="P56" s="148" t="s">
        <v>5</v>
      </c>
      <c r="Q56" s="148" t="s">
        <v>176</v>
      </c>
      <c r="R56" s="148" t="s">
        <v>195</v>
      </c>
      <c r="S56" s="148" t="s">
        <v>208</v>
      </c>
      <c r="T56" s="217">
        <f>T12*T42</f>
        <v>3999419.5113605219</v>
      </c>
      <c r="U56" s="158"/>
      <c r="V56" s="81"/>
      <c r="W56" s="81"/>
      <c r="X56" s="158"/>
      <c r="Y56" s="158"/>
    </row>
    <row r="57" spans="4:25" s="140" customFormat="1">
      <c r="N57" s="102" t="s">
        <v>406</v>
      </c>
      <c r="O57" s="102" t="s">
        <v>29</v>
      </c>
      <c r="P57" s="148" t="s">
        <v>5</v>
      </c>
      <c r="Q57" s="148" t="s">
        <v>176</v>
      </c>
      <c r="R57" s="148" t="s">
        <v>195</v>
      </c>
      <c r="S57" s="148" t="s">
        <v>201</v>
      </c>
      <c r="T57" s="217">
        <f>T13*T43</f>
        <v>17939.23</v>
      </c>
      <c r="U57" s="158"/>
      <c r="V57" s="81"/>
      <c r="W57" s="81"/>
      <c r="X57" s="158"/>
      <c r="Y57" s="158"/>
    </row>
    <row r="58" spans="4:25" s="140" customFormat="1">
      <c r="N58" s="102" t="s">
        <v>406</v>
      </c>
      <c r="O58" s="102" t="s">
        <v>29</v>
      </c>
      <c r="P58" s="148" t="s">
        <v>5</v>
      </c>
      <c r="Q58" s="148" t="s">
        <v>177</v>
      </c>
      <c r="R58" s="148" t="s">
        <v>203</v>
      </c>
      <c r="S58" s="148" t="s">
        <v>335</v>
      </c>
      <c r="T58" s="217">
        <f>T14*T44</f>
        <v>112448</v>
      </c>
      <c r="U58" s="158"/>
      <c r="V58" s="81"/>
      <c r="W58" s="81"/>
      <c r="X58" s="158"/>
      <c r="Y58" s="158"/>
    </row>
    <row r="59" spans="4:25" s="140" customFormat="1">
      <c r="N59" s="102" t="s">
        <v>406</v>
      </c>
      <c r="O59" s="102" t="s">
        <v>29</v>
      </c>
      <c r="P59" s="148" t="s">
        <v>5</v>
      </c>
      <c r="Q59" s="148" t="s">
        <v>177</v>
      </c>
      <c r="R59" s="148" t="s">
        <v>204</v>
      </c>
      <c r="S59" s="148" t="s">
        <v>335</v>
      </c>
      <c r="T59" s="217">
        <f>T15*T46</f>
        <v>19416</v>
      </c>
      <c r="U59" s="158"/>
      <c r="V59" s="81"/>
      <c r="W59" s="81"/>
      <c r="X59" s="158"/>
      <c r="Y59" s="158"/>
    </row>
    <row r="60" spans="4:25" s="140" customFormat="1">
      <c r="N60" s="102" t="s">
        <v>406</v>
      </c>
      <c r="O60" s="102" t="s">
        <v>29</v>
      </c>
      <c r="P60" s="148" t="s">
        <v>5</v>
      </c>
      <c r="Q60" s="148" t="s">
        <v>177</v>
      </c>
      <c r="R60" s="148" t="s">
        <v>203</v>
      </c>
      <c r="S60" s="148" t="s">
        <v>281</v>
      </c>
      <c r="T60" s="217">
        <f>T16*T45</f>
        <v>55799.56</v>
      </c>
      <c r="U60" s="158"/>
      <c r="V60" s="81"/>
      <c r="W60" s="81"/>
      <c r="X60" s="158"/>
      <c r="Y60" s="158"/>
    </row>
    <row r="61" spans="4:25" s="140" customFormat="1">
      <c r="N61" s="102" t="s">
        <v>406</v>
      </c>
      <c r="O61" s="102" t="s">
        <v>29</v>
      </c>
      <c r="P61" s="148" t="s">
        <v>5</v>
      </c>
      <c r="Q61" s="148" t="s">
        <v>177</v>
      </c>
      <c r="R61" s="148" t="s">
        <v>204</v>
      </c>
      <c r="S61" s="148" t="s">
        <v>281</v>
      </c>
      <c r="T61" s="217">
        <f>T17*T47</f>
        <v>27203</v>
      </c>
      <c r="U61" s="158"/>
      <c r="V61" s="81"/>
      <c r="W61" s="81"/>
      <c r="X61" s="158"/>
    </row>
    <row r="62" spans="4:25" s="140" customFormat="1">
      <c r="N62" s="102" t="s">
        <v>406</v>
      </c>
      <c r="O62" s="102" t="s">
        <v>29</v>
      </c>
      <c r="P62" s="148" t="s">
        <v>5</v>
      </c>
      <c r="Q62" s="148" t="s">
        <v>177</v>
      </c>
      <c r="R62" s="148" t="s">
        <v>195</v>
      </c>
      <c r="S62" s="148" t="s">
        <v>202</v>
      </c>
      <c r="T62" s="217">
        <f>T18*T48</f>
        <v>1031389.3400000001</v>
      </c>
      <c r="U62" s="158"/>
      <c r="V62" s="81"/>
      <c r="W62" s="81"/>
      <c r="X62" s="158"/>
    </row>
    <row r="63" spans="4:25" s="140" customFormat="1">
      <c r="N63" s="102" t="s">
        <v>406</v>
      </c>
      <c r="O63" s="102" t="s">
        <v>29</v>
      </c>
      <c r="P63" s="148" t="s">
        <v>5</v>
      </c>
      <c r="Q63" s="148" t="s">
        <v>177</v>
      </c>
      <c r="R63" s="148" t="s">
        <v>195</v>
      </c>
      <c r="S63" s="148" t="s">
        <v>207</v>
      </c>
      <c r="T63" s="217">
        <f>T19*T49</f>
        <v>1294001.072931248</v>
      </c>
      <c r="U63" s="158"/>
      <c r="V63" s="81"/>
      <c r="W63" s="81"/>
      <c r="X63" s="158"/>
    </row>
    <row r="64" spans="4:25" s="140" customFormat="1">
      <c r="D64" s="236"/>
      <c r="N64" s="102" t="s">
        <v>406</v>
      </c>
      <c r="O64" s="102" t="s">
        <v>29</v>
      </c>
      <c r="P64" s="148" t="s">
        <v>5</v>
      </c>
      <c r="Q64" s="148" t="s">
        <v>177</v>
      </c>
      <c r="R64" s="148" t="s">
        <v>195</v>
      </c>
      <c r="S64" s="148" t="s">
        <v>208</v>
      </c>
      <c r="T64" s="217">
        <f>T20*T50</f>
        <v>1638111.9133747679</v>
      </c>
      <c r="U64" s="158"/>
      <c r="V64" s="81"/>
      <c r="W64" s="81"/>
      <c r="X64" s="158"/>
    </row>
    <row r="65" spans="14:31" s="140" customFormat="1">
      <c r="N65" s="102" t="s">
        <v>406</v>
      </c>
      <c r="O65" s="102" t="s">
        <v>29</v>
      </c>
      <c r="P65" s="148" t="s">
        <v>5</v>
      </c>
      <c r="Q65" s="148" t="s">
        <v>177</v>
      </c>
      <c r="R65" s="148" t="s">
        <v>195</v>
      </c>
      <c r="S65" s="148" t="s">
        <v>201</v>
      </c>
      <c r="T65" s="217">
        <f>T21*T51</f>
        <v>5180.08</v>
      </c>
      <c r="U65" s="158"/>
      <c r="V65" s="81"/>
      <c r="W65" s="81"/>
      <c r="X65" s="158"/>
    </row>
    <row r="66" spans="14:31" s="140" customFormat="1">
      <c r="N66" s="102" t="s">
        <v>406</v>
      </c>
      <c r="O66" s="102" t="s">
        <v>29</v>
      </c>
      <c r="P66" s="100" t="s">
        <v>5</v>
      </c>
      <c r="Q66" s="100" t="s">
        <v>195</v>
      </c>
      <c r="R66" s="100" t="s">
        <v>195</v>
      </c>
      <c r="S66" s="215" t="s">
        <v>168</v>
      </c>
      <c r="T66" s="217">
        <f>Unbilled!E13</f>
        <v>211823.16276683079</v>
      </c>
      <c r="U66" s="158"/>
      <c r="V66" s="81"/>
      <c r="W66" s="81"/>
      <c r="X66" s="158"/>
    </row>
    <row r="67" spans="14:31" s="140" customFormat="1">
      <c r="N67" s="102" t="s">
        <v>406</v>
      </c>
      <c r="O67" s="102" t="s">
        <v>29</v>
      </c>
      <c r="P67" s="148" t="s">
        <v>7</v>
      </c>
      <c r="Q67" s="148" t="s">
        <v>176</v>
      </c>
      <c r="R67" s="148" t="s">
        <v>203</v>
      </c>
      <c r="S67" s="148" t="s">
        <v>335</v>
      </c>
      <c r="T67" s="217">
        <f>T22*T36</f>
        <v>405717</v>
      </c>
      <c r="U67" s="158"/>
      <c r="V67" s="81"/>
      <c r="W67" s="81"/>
      <c r="X67" s="158"/>
    </row>
    <row r="68" spans="14:31" s="140" customFormat="1">
      <c r="N68" s="102" t="s">
        <v>406</v>
      </c>
      <c r="O68" s="102" t="s">
        <v>29</v>
      </c>
      <c r="P68" s="148" t="s">
        <v>7</v>
      </c>
      <c r="Q68" s="148" t="s">
        <v>176</v>
      </c>
      <c r="R68" s="148" t="s">
        <v>204</v>
      </c>
      <c r="S68" s="148" t="s">
        <v>335</v>
      </c>
      <c r="T68" s="217">
        <f>T23*T38</f>
        <v>42849</v>
      </c>
      <c r="U68" s="158"/>
      <c r="V68" s="81"/>
      <c r="W68" s="81"/>
      <c r="X68" s="158"/>
    </row>
    <row r="69" spans="14:31" s="140" customFormat="1">
      <c r="N69" s="102" t="s">
        <v>406</v>
      </c>
      <c r="O69" s="102" t="s">
        <v>29</v>
      </c>
      <c r="P69" s="148" t="s">
        <v>7</v>
      </c>
      <c r="Q69" s="148" t="s">
        <v>176</v>
      </c>
      <c r="R69" s="148" t="s">
        <v>203</v>
      </c>
      <c r="S69" s="148" t="s">
        <v>281</v>
      </c>
      <c r="T69" s="217">
        <f>T24*T37</f>
        <v>494091.45999999996</v>
      </c>
      <c r="U69" s="158"/>
      <c r="V69" s="81"/>
      <c r="W69" s="81"/>
      <c r="X69" s="158"/>
    </row>
    <row r="70" spans="14:31" s="140" customFormat="1">
      <c r="N70" s="102" t="s">
        <v>406</v>
      </c>
      <c r="O70" s="102" t="s">
        <v>29</v>
      </c>
      <c r="P70" s="148" t="s">
        <v>7</v>
      </c>
      <c r="Q70" s="148" t="s">
        <v>176</v>
      </c>
      <c r="R70" s="148" t="s">
        <v>204</v>
      </c>
      <c r="S70" s="148" t="s">
        <v>281</v>
      </c>
      <c r="T70" s="217">
        <f t="shared" ref="T70:T76" si="20">T25*T39</f>
        <v>114671.27</v>
      </c>
      <c r="U70" s="158"/>
      <c r="V70" s="81"/>
      <c r="W70" s="81"/>
      <c r="X70" s="158"/>
    </row>
    <row r="71" spans="14:31" s="140" customFormat="1">
      <c r="N71" s="102" t="s">
        <v>406</v>
      </c>
      <c r="O71" s="102" t="s">
        <v>29</v>
      </c>
      <c r="P71" s="148" t="s">
        <v>7</v>
      </c>
      <c r="Q71" s="148" t="s">
        <v>176</v>
      </c>
      <c r="R71" s="148" t="s">
        <v>195</v>
      </c>
      <c r="S71" s="148" t="s">
        <v>202</v>
      </c>
      <c r="T71" s="217">
        <f t="shared" si="20"/>
        <v>3769552.89</v>
      </c>
      <c r="U71" s="158"/>
      <c r="V71" s="81"/>
      <c r="W71" s="81"/>
      <c r="X71" s="158"/>
    </row>
    <row r="72" spans="14:31" s="140" customFormat="1">
      <c r="N72" s="102" t="s">
        <v>406</v>
      </c>
      <c r="O72" s="102" t="s">
        <v>29</v>
      </c>
      <c r="P72" s="148" t="s">
        <v>7</v>
      </c>
      <c r="Q72" s="148" t="s">
        <v>176</v>
      </c>
      <c r="R72" s="148" t="s">
        <v>195</v>
      </c>
      <c r="S72" s="148" t="s">
        <v>207</v>
      </c>
      <c r="T72" s="217">
        <f t="shared" si="20"/>
        <v>4878295.4782709982</v>
      </c>
      <c r="U72" s="158"/>
      <c r="V72" s="81"/>
      <c r="W72" s="81"/>
      <c r="X72" s="158"/>
    </row>
    <row r="73" spans="14:31" s="140" customFormat="1">
      <c r="N73" s="102" t="s">
        <v>406</v>
      </c>
      <c r="O73" s="102" t="s">
        <v>29</v>
      </c>
      <c r="P73" s="148" t="s">
        <v>7</v>
      </c>
      <c r="Q73" s="148" t="s">
        <v>176</v>
      </c>
      <c r="R73" s="148" t="s">
        <v>195</v>
      </c>
      <c r="S73" s="148" t="s">
        <v>208</v>
      </c>
      <c r="T73" s="217">
        <f t="shared" si="20"/>
        <v>6546902.5589845497</v>
      </c>
      <c r="U73" s="158"/>
      <c r="V73" s="81"/>
      <c r="W73" s="81"/>
      <c r="X73" s="158"/>
    </row>
    <row r="74" spans="14:31" s="140" customFormat="1">
      <c r="N74" s="102" t="s">
        <v>406</v>
      </c>
      <c r="O74" s="102" t="s">
        <v>29</v>
      </c>
      <c r="P74" s="148" t="s">
        <v>7</v>
      </c>
      <c r="Q74" s="148" t="s">
        <v>176</v>
      </c>
      <c r="R74" s="148" t="s">
        <v>195</v>
      </c>
      <c r="S74" s="148" t="s">
        <v>201</v>
      </c>
      <c r="T74" s="217">
        <f t="shared" si="20"/>
        <v>62045.069999999992</v>
      </c>
      <c r="U74" s="158"/>
      <c r="V74" s="81"/>
      <c r="W74" s="81"/>
      <c r="X74" s="158"/>
    </row>
    <row r="75" spans="14:31" s="140" customFormat="1">
      <c r="N75" s="102" t="s">
        <v>406</v>
      </c>
      <c r="O75" s="102" t="s">
        <v>29</v>
      </c>
      <c r="P75" s="148" t="s">
        <v>7</v>
      </c>
      <c r="Q75" s="148" t="s">
        <v>177</v>
      </c>
      <c r="R75" s="148" t="s">
        <v>203</v>
      </c>
      <c r="S75" s="148" t="s">
        <v>335</v>
      </c>
      <c r="T75" s="217">
        <f t="shared" si="20"/>
        <v>16128</v>
      </c>
      <c r="U75" s="158"/>
      <c r="V75" s="81"/>
      <c r="W75" s="81"/>
      <c r="X75" s="158"/>
      <c r="AD75" s="551" t="s">
        <v>577</v>
      </c>
      <c r="AE75" s="342"/>
    </row>
    <row r="76" spans="14:31" s="140" customFormat="1">
      <c r="N76" s="102" t="s">
        <v>406</v>
      </c>
      <c r="O76" s="102" t="s">
        <v>29</v>
      </c>
      <c r="P76" s="148" t="s">
        <v>7</v>
      </c>
      <c r="Q76" s="148" t="s">
        <v>177</v>
      </c>
      <c r="R76" s="148" t="s">
        <v>203</v>
      </c>
      <c r="S76" s="148" t="s">
        <v>281</v>
      </c>
      <c r="T76" s="217">
        <f t="shared" si="20"/>
        <v>658.8</v>
      </c>
      <c r="U76" s="158"/>
      <c r="V76" s="81"/>
      <c r="W76" s="81"/>
      <c r="AD76" s="319" t="s">
        <v>570</v>
      </c>
      <c r="AE76" s="383"/>
    </row>
    <row r="77" spans="14:31" s="140" customFormat="1">
      <c r="N77" s="102" t="s">
        <v>406</v>
      </c>
      <c r="O77" s="102" t="s">
        <v>29</v>
      </c>
      <c r="P77" s="148" t="s">
        <v>7</v>
      </c>
      <c r="Q77" s="148" t="s">
        <v>177</v>
      </c>
      <c r="R77" s="148" t="s">
        <v>195</v>
      </c>
      <c r="S77" s="148" t="s">
        <v>202</v>
      </c>
      <c r="T77" s="217">
        <f>T32*T48</f>
        <v>52799.999999999993</v>
      </c>
      <c r="U77" s="158"/>
      <c r="V77" s="81"/>
      <c r="W77" s="81"/>
      <c r="AD77" s="390" t="s">
        <v>176</v>
      </c>
      <c r="AE77" s="534">
        <f>1.07676-0.03503</f>
        <v>1.04173</v>
      </c>
    </row>
    <row r="78" spans="14:31" s="140" customFormat="1">
      <c r="N78" s="102" t="s">
        <v>406</v>
      </c>
      <c r="O78" s="102" t="s">
        <v>29</v>
      </c>
      <c r="P78" s="148" t="s">
        <v>7</v>
      </c>
      <c r="Q78" s="148" t="s">
        <v>177</v>
      </c>
      <c r="R78" s="148" t="s">
        <v>195</v>
      </c>
      <c r="S78" s="148" t="s">
        <v>207</v>
      </c>
      <c r="T78" s="217">
        <f>T33*T49</f>
        <v>10475.899453994594</v>
      </c>
      <c r="U78" s="158"/>
      <c r="V78" s="81"/>
      <c r="W78" s="81"/>
      <c r="AD78" s="450" t="s">
        <v>177</v>
      </c>
      <c r="AE78" s="535">
        <f>1.06214-0.03503</f>
        <v>1.0271100000000002</v>
      </c>
    </row>
    <row r="79" spans="14:31" s="140" customFormat="1">
      <c r="N79" s="102" t="s">
        <v>406</v>
      </c>
      <c r="O79" s="102" t="s">
        <v>29</v>
      </c>
      <c r="P79" s="148" t="s">
        <v>7</v>
      </c>
      <c r="Q79" s="148" t="s">
        <v>177</v>
      </c>
      <c r="R79" s="148" t="s">
        <v>195</v>
      </c>
      <c r="S79" s="148" t="s">
        <v>208</v>
      </c>
      <c r="T79" s="217">
        <f>T34*T50</f>
        <v>14185.783037788015</v>
      </c>
      <c r="U79" s="158"/>
      <c r="V79" s="81"/>
      <c r="W79" s="81"/>
    </row>
    <row r="80" spans="14:31" s="140" customFormat="1">
      <c r="N80" s="102" t="s">
        <v>406</v>
      </c>
      <c r="O80" s="102" t="s">
        <v>29</v>
      </c>
      <c r="P80" s="148" t="s">
        <v>7</v>
      </c>
      <c r="Q80" s="148" t="s">
        <v>177</v>
      </c>
      <c r="R80" s="148" t="s">
        <v>195</v>
      </c>
      <c r="S80" s="148" t="s">
        <v>201</v>
      </c>
      <c r="T80" s="217">
        <f>T35*T51</f>
        <v>336.56000000000006</v>
      </c>
      <c r="U80" s="158"/>
      <c r="V80" s="81"/>
      <c r="W80" s="81"/>
      <c r="X80" s="415"/>
      <c r="Y80" s="353"/>
      <c r="Z80" s="320"/>
      <c r="AA80" s="516" t="s">
        <v>572</v>
      </c>
      <c r="AB80" s="539"/>
      <c r="AC80" s="341"/>
      <c r="AD80" s="220"/>
      <c r="AE80" s="220" t="s">
        <v>578</v>
      </c>
    </row>
    <row r="81" spans="14:31" s="140" customFormat="1">
      <c r="N81" s="150" t="s">
        <v>406</v>
      </c>
      <c r="O81" s="150" t="s">
        <v>29</v>
      </c>
      <c r="P81" s="152" t="s">
        <v>7</v>
      </c>
      <c r="Q81" s="152" t="s">
        <v>195</v>
      </c>
      <c r="R81" s="152" t="s">
        <v>195</v>
      </c>
      <c r="S81" s="216" t="s">
        <v>168</v>
      </c>
      <c r="T81" s="218">
        <f>Unbilled!E14</f>
        <v>316128.70153986604</v>
      </c>
      <c r="U81" s="158"/>
      <c r="V81" s="81"/>
      <c r="W81" s="81"/>
      <c r="X81" s="388" t="s">
        <v>509</v>
      </c>
      <c r="Y81" s="389"/>
      <c r="Z81" s="399"/>
      <c r="AA81" s="540" t="s">
        <v>571</v>
      </c>
      <c r="AB81" s="235" t="s">
        <v>574</v>
      </c>
      <c r="AC81" s="552" t="s">
        <v>573</v>
      </c>
      <c r="AD81" s="218" t="s">
        <v>6</v>
      </c>
      <c r="AE81" s="218" t="s">
        <v>6</v>
      </c>
    </row>
    <row r="82" spans="14:31">
      <c r="N82" s="350" t="s">
        <v>536</v>
      </c>
      <c r="O82" s="264" t="s">
        <v>29</v>
      </c>
      <c r="P82" s="219" t="s">
        <v>195</v>
      </c>
      <c r="Q82" s="219" t="s">
        <v>195</v>
      </c>
      <c r="R82" s="219" t="s">
        <v>195</v>
      </c>
      <c r="S82" s="219" t="s">
        <v>195</v>
      </c>
      <c r="T82" s="220">
        <f ca="1">'Cost of Service and Proposed $'!O123</f>
        <v>219300.97319840136</v>
      </c>
      <c r="X82" s="415">
        <f ca="1">(T82-AA82-AB82-AC82)*AD82/AE82</f>
        <v>210926.62402266814</v>
      </c>
      <c r="Y82" s="437"/>
      <c r="Z82" s="437"/>
      <c r="AA82" s="275">
        <v>0</v>
      </c>
      <c r="AB82" s="141">
        <v>0</v>
      </c>
      <c r="AC82" s="141">
        <v>0</v>
      </c>
      <c r="AD82" s="141">
        <f t="shared" ref="AD82:AD85" si="21">($T$11+$T$12+$T$27+$T$28)+($T$19+$T$20+$T$33+$T$34)</f>
        <v>374086296.54652476</v>
      </c>
      <c r="AE82" s="141">
        <f>($T$11+$T$12+$T$27+$T$28)*$AE$77+($T$19+$T$20+$T$33+$T$34)*$AE$78</f>
        <v>388938519.60586137</v>
      </c>
    </row>
    <row r="83" spans="14:31">
      <c r="N83" s="227" t="s">
        <v>537</v>
      </c>
      <c r="O83" s="90" t="s">
        <v>29</v>
      </c>
      <c r="P83" s="215" t="s">
        <v>195</v>
      </c>
      <c r="Q83" s="215" t="s">
        <v>195</v>
      </c>
      <c r="R83" s="215" t="s">
        <v>195</v>
      </c>
      <c r="S83" s="215" t="s">
        <v>195</v>
      </c>
      <c r="T83" s="217">
        <f ca="1">'Cost of Service and Proposed $'!O124</f>
        <v>11279013.951376786</v>
      </c>
      <c r="X83" s="393">
        <f ca="1">(T83-AA83-AB83-AC83)*AD83/AE83</f>
        <v>7641377.1739794733</v>
      </c>
      <c r="Y83" s="436"/>
      <c r="Z83" s="436"/>
      <c r="AA83" s="275">
        <f ca="1">'Cost of Service and Proposed $'!O115</f>
        <v>864703.10622639686</v>
      </c>
      <c r="AB83" s="141">
        <f ca="1">'Cost of Service and Proposed $'!O116</f>
        <v>2344581.7528857221</v>
      </c>
      <c r="AC83" s="141">
        <f ca="1">'Cost of Service and Proposed $'!O117</f>
        <v>124968.87721634858</v>
      </c>
      <c r="AD83" s="141">
        <f t="shared" si="21"/>
        <v>374086296.54652476</v>
      </c>
      <c r="AE83" s="141">
        <f>($T$11+$T$12+$T$27+$T$28)*$AE$77+($T$19+$T$20+$T$33+$T$34)*$AE$78</f>
        <v>388938519.60586137</v>
      </c>
    </row>
    <row r="84" spans="14:31">
      <c r="N84" s="227" t="s">
        <v>538</v>
      </c>
      <c r="O84" s="90" t="s">
        <v>29</v>
      </c>
      <c r="P84" s="215" t="s">
        <v>195</v>
      </c>
      <c r="Q84" s="215" t="s">
        <v>195</v>
      </c>
      <c r="R84" s="215" t="s">
        <v>195</v>
      </c>
      <c r="S84" s="215" t="s">
        <v>195</v>
      </c>
      <c r="T84" s="217">
        <f ca="1">'Cost of Service and Proposed $'!O125</f>
        <v>3575061.7062521083</v>
      </c>
      <c r="X84" s="393">
        <f ca="1">(T84-AA84-AB84-AC84)*AD84/AE84</f>
        <v>3438542.4076083116</v>
      </c>
      <c r="Y84" s="436"/>
      <c r="Z84" s="436"/>
      <c r="AA84" s="275">
        <v>0</v>
      </c>
      <c r="AB84" s="141">
        <v>0</v>
      </c>
      <c r="AC84" s="141">
        <v>0</v>
      </c>
      <c r="AD84" s="141">
        <f t="shared" si="21"/>
        <v>374086296.54652476</v>
      </c>
      <c r="AE84" s="141">
        <f>($T$11+$T$12+$T$27+$T$28)*$AE$77+($T$19+$T$20+$T$33+$T$34)*$AE$78</f>
        <v>388938519.60586137</v>
      </c>
    </row>
    <row r="85" spans="14:31">
      <c r="N85" s="337" t="s">
        <v>539</v>
      </c>
      <c r="O85" s="265" t="s">
        <v>29</v>
      </c>
      <c r="P85" s="216" t="s">
        <v>195</v>
      </c>
      <c r="Q85" s="216" t="s">
        <v>195</v>
      </c>
      <c r="R85" s="216" t="s">
        <v>195</v>
      </c>
      <c r="S85" s="216" t="s">
        <v>195</v>
      </c>
      <c r="T85" s="218">
        <f ca="1">'Cost of Service and Proposed $'!O126</f>
        <v>19337006.673785884</v>
      </c>
      <c r="U85" s="81"/>
      <c r="V85" s="374"/>
      <c r="W85" s="375"/>
      <c r="X85" s="394">
        <f ca="1">(T85-AA85-AB85-AC85)*AD85/AE85</f>
        <v>18598592.960713737</v>
      </c>
      <c r="Y85" s="541"/>
      <c r="Z85" s="541"/>
      <c r="AA85" s="321">
        <v>0</v>
      </c>
      <c r="AB85" s="142">
        <v>0</v>
      </c>
      <c r="AC85" s="142">
        <v>0</v>
      </c>
      <c r="AD85" s="142">
        <f t="shared" si="21"/>
        <v>374086296.54652476</v>
      </c>
      <c r="AE85" s="142">
        <f>($T$11+$T$12+$T$27+$T$28)*$AE$77+($T$19+$T$20+$T$33+$T$34)*$AE$78</f>
        <v>388938519.60586137</v>
      </c>
    </row>
    <row r="86" spans="14:31">
      <c r="N86" s="449" t="s">
        <v>534</v>
      </c>
      <c r="O86" s="264" t="s">
        <v>29</v>
      </c>
      <c r="P86" s="144" t="s">
        <v>195</v>
      </c>
      <c r="Q86" s="219" t="s">
        <v>195</v>
      </c>
      <c r="R86" s="219" t="s">
        <v>195</v>
      </c>
      <c r="S86" s="145" t="s">
        <v>335</v>
      </c>
      <c r="T86" s="220">
        <f ca="1">(U86*(V86-W86)+W86*100)/100</f>
        <v>1057599.6148398046</v>
      </c>
      <c r="U86" s="592">
        <v>10</v>
      </c>
      <c r="V86" s="158">
        <f ca="1">T82*(1-SUM(V90:V91)/SUM(T82:T85))</f>
        <v>215391.37429028019</v>
      </c>
      <c r="W86" s="158" cm="1">
        <f t="array" aca="1" ref="W86" ca="1">SUMIFS(T$52:T$81,S$52:S$81,"Bill")/SUM(SUMIFS(T$52:T$81,S$52:S$81,{"Bill","Load Size kW","kW","kWh*"}))*(SUM(T$82:T$85)-SUM(W$90:W$91))</f>
        <v>1151178.3082341962</v>
      </c>
      <c r="X86" s="220">
        <f ca="1">(U86*(Y86-Z86)+Z86*100)/100</f>
        <v>918128.60691393318</v>
      </c>
      <c r="Y86" s="141">
        <f ca="1">X82*(1-SUM(Y90:Y91)/SUM(X82:X85))</f>
        <v>206597.55219600652</v>
      </c>
      <c r="Z86" s="141" cm="1">
        <f t="array" aca="1" ref="Z86" ca="1">SUMIFS(T$52:T$81,S$52:S$81,"Bill")/SUM(SUMIFS(T$52:T$81,S$52:S$81,{"Bill","Load Size kW","kW","kWh*"}))*(SUM(X$82:X$85)-SUM(Z$90:Z$91))</f>
        <v>997187.61299370276</v>
      </c>
      <c r="AA86" s="159"/>
      <c r="AB86" s="159"/>
    </row>
    <row r="87" spans="14:31">
      <c r="N87" s="447" t="s">
        <v>534</v>
      </c>
      <c r="O87" s="90" t="s">
        <v>29</v>
      </c>
      <c r="P87" s="100" t="s">
        <v>195</v>
      </c>
      <c r="Q87" s="215" t="s">
        <v>195</v>
      </c>
      <c r="R87" s="215" t="s">
        <v>195</v>
      </c>
      <c r="S87" s="100" t="s">
        <v>281</v>
      </c>
      <c r="T87" s="217">
        <f t="shared" ref="T87:T91" ca="1" si="22">(U87*(V87-W87)+W87*100)/100</f>
        <v>2277205.4401051463</v>
      </c>
      <c r="U87" s="333">
        <f>$U$86</f>
        <v>10</v>
      </c>
      <c r="V87" s="158">
        <f ca="1">T83*(1-SUM(V90:V91)/SUM(T82:T85))</f>
        <v>11077936.774263248</v>
      </c>
      <c r="W87" s="158" cm="1">
        <f t="array" aca="1" ref="W87" ca="1">SUMIFS(T$52:T$81,S$52:S$81,"Load Size kW")/SUM(SUMIFS(T$52:T$81,S$52:S$81,{"Bill","Load Size kW","kW","kWh*"}))*(SUM(T$82:T$85)-SUM(W$90:W$91))</f>
        <v>1299346.4029764682</v>
      </c>
      <c r="X87" s="217">
        <f t="shared" ref="X87:X91" ca="1" si="23">(U87*(Y87-Z87)+Z87*100)/100</f>
        <v>1761436.5215884454</v>
      </c>
      <c r="Y87" s="141">
        <f ca="1">X83*(1-SUM(Y90:Y91)/SUM(X82:X85))</f>
        <v>7484545.0490922211</v>
      </c>
      <c r="Z87" s="141" cm="1">
        <f t="array" aca="1" ref="Z87" ca="1">SUMIFS(T$52:T$81,S$52:S$81,"Load Size kW")/SUM(SUMIFS(T$52:T$81,S$52:S$81,{"Bill","Load Size kW","kW","kWh*"}))*(SUM(X$82:X$85)-SUM(Z$90:Z$91))</f>
        <v>1125535.5740880258</v>
      </c>
      <c r="AA87" s="159"/>
      <c r="AB87" s="159"/>
    </row>
    <row r="88" spans="14:31">
      <c r="N88" s="447" t="s">
        <v>534</v>
      </c>
      <c r="O88" s="90" t="s">
        <v>29</v>
      </c>
      <c r="P88" s="100" t="s">
        <v>195</v>
      </c>
      <c r="Q88" s="215" t="s">
        <v>195</v>
      </c>
      <c r="R88" s="100" t="s">
        <v>195</v>
      </c>
      <c r="S88" s="100" t="s">
        <v>202</v>
      </c>
      <c r="T88" s="217">
        <f t="shared" ca="1" si="22"/>
        <v>7579525.1876767324</v>
      </c>
      <c r="U88" s="333">
        <f t="shared" ref="U88:U91" si="24">$U$86</f>
        <v>10</v>
      </c>
      <c r="V88" s="158">
        <f ca="1">T84*(1-SUM(V90:V91)/SUM(T82:T85))</f>
        <v>3511327.1174840773</v>
      </c>
      <c r="W88" s="158" cm="1">
        <f t="array" aca="1" ref="W88" ca="1">SUMIFS(T$52:T$81,S$52:S$81,"kW")/SUM(SUMIFS(T$52:T$81,S$52:S$81,{"Bill","Load Size kW","kW","kWh*"}))*(SUM(T$82:T$85)-SUM(W$90:W$91))</f>
        <v>8031547.1954759154</v>
      </c>
      <c r="X88" s="217">
        <f t="shared" ca="1" si="23"/>
        <v>6598262.6080205897</v>
      </c>
      <c r="Y88" s="141">
        <f ca="1">X84*(1-SUM(Y90:Y91)/SUM(X82:X85))</f>
        <v>3367969.5383437918</v>
      </c>
      <c r="Z88" s="141" cm="1">
        <f t="array" aca="1" ref="Z88" ca="1">SUMIFS(T$52:T$81,S$52:S$81,"kW")/SUM(SUMIFS(T$52:T$81,S$52:S$81,{"Bill","Load Size kW","kW","kWh*"}))*(SUM(X$82:X$85)-SUM(Z$90:Z$91))</f>
        <v>6957184.0602069013</v>
      </c>
      <c r="AA88" s="159"/>
      <c r="AB88" s="159"/>
    </row>
    <row r="89" spans="14:31">
      <c r="N89" s="447" t="s">
        <v>534</v>
      </c>
      <c r="O89" s="90" t="s">
        <v>29</v>
      </c>
      <c r="P89" s="100" t="s">
        <v>195</v>
      </c>
      <c r="Q89" s="215" t="s">
        <v>195</v>
      </c>
      <c r="R89" s="100" t="s">
        <v>195</v>
      </c>
      <c r="S89" s="100" t="s">
        <v>6</v>
      </c>
      <c r="T89" s="217">
        <f t="shared" ca="1" si="22"/>
        <v>22882600.257684804</v>
      </c>
      <c r="U89" s="333">
        <f t="shared" si="24"/>
        <v>10</v>
      </c>
      <c r="V89" s="158">
        <f ca="1">T85*(1-SUM(V90:V91)/SUM(T82:T85))</f>
        <v>18992275.234268878</v>
      </c>
      <c r="W89" s="158" cm="1">
        <f t="array" aca="1" ref="W89" ca="1">SUMIFS(T$52:T$81,S$52:S$81,"kWh*")/SUM(SUMIFS(T$52:T$81,S$52:S$81,{"Bill","Load Size kW","kW","kWh*"}))*(SUM(T$82:T$85)-SUM(W$90:W$91))</f>
        <v>23314858.593619905</v>
      </c>
      <c r="X89" s="217">
        <f t="shared" ca="1" si="23"/>
        <v>19998158.625494525</v>
      </c>
      <c r="Y89" s="141">
        <f ca="1">X85*(1-SUM(Y90:Y91)/SUM(X82:X85))</f>
        <v>18216874.222385474</v>
      </c>
      <c r="Z89" s="141" cm="1">
        <f t="array" aca="1" ref="Z89" ca="1">SUMIFS(T$52:T$81,S$52:S$81,"kWh*")/SUM(SUMIFS(T$52:T$81,S$52:S$81,{"Bill","Load Size kW","kW","kWh*"}))*(SUM(X$82:X$85)-SUM(Z$90:Z$91))</f>
        <v>20196079.114728861</v>
      </c>
      <c r="AA89" s="159"/>
      <c r="AB89" s="159"/>
    </row>
    <row r="90" spans="14:31">
      <c r="N90" s="447" t="s">
        <v>534</v>
      </c>
      <c r="O90" s="90" t="s">
        <v>29</v>
      </c>
      <c r="P90" s="100" t="s">
        <v>195</v>
      </c>
      <c r="Q90" s="215" t="s">
        <v>195</v>
      </c>
      <c r="R90" s="100" t="s">
        <v>195</v>
      </c>
      <c r="S90" s="100" t="s">
        <v>201</v>
      </c>
      <c r="T90" s="217">
        <f t="shared" si="22"/>
        <v>85500.939999999988</v>
      </c>
      <c r="U90" s="333">
        <f t="shared" si="24"/>
        <v>10</v>
      </c>
      <c r="V90" s="158">
        <f>SUMIFS(T52:T81,S52:S81,S90)</f>
        <v>85500.939999999988</v>
      </c>
      <c r="W90" s="158">
        <f>SUMIFS(T52:T81,S52:S81,S90)</f>
        <v>85500.939999999988</v>
      </c>
      <c r="X90" s="217">
        <f t="shared" si="23"/>
        <v>85500.939999999988</v>
      </c>
      <c r="Y90" s="141">
        <f>SUMIFS(T52:T81,S52:S81,S90)</f>
        <v>85500.939999999988</v>
      </c>
      <c r="Z90" s="141">
        <f>SUMIFS(T52:T81,S52:S81,S90)</f>
        <v>85500.939999999988</v>
      </c>
      <c r="AA90" s="159"/>
      <c r="AB90" s="159"/>
    </row>
    <row r="91" spans="14:31">
      <c r="N91" s="448" t="s">
        <v>534</v>
      </c>
      <c r="O91" s="265" t="s">
        <v>29</v>
      </c>
      <c r="P91" s="152" t="s">
        <v>195</v>
      </c>
      <c r="Q91" s="216" t="s">
        <v>195</v>
      </c>
      <c r="R91" s="152" t="s">
        <v>195</v>
      </c>
      <c r="S91" s="152" t="s">
        <v>168</v>
      </c>
      <c r="T91" s="218">
        <f t="shared" si="22"/>
        <v>527951.86430669681</v>
      </c>
      <c r="U91" s="333">
        <f t="shared" si="24"/>
        <v>10</v>
      </c>
      <c r="V91" s="158">
        <f>SUMIFS(T52:T81,S52:S81,S91)</f>
        <v>527951.86430669681</v>
      </c>
      <c r="W91" s="158">
        <f>SUMIFS(T52:T81,S52:S81,S91)</f>
        <v>527951.86430669681</v>
      </c>
      <c r="X91" s="218">
        <f t="shared" si="23"/>
        <v>527951.86430669681</v>
      </c>
      <c r="Y91" s="142">
        <f>SUMIFS(T52:T81,S52:S81,S91)</f>
        <v>527951.86430669681</v>
      </c>
      <c r="Z91" s="142">
        <f>SUMIFS(T52:T81,S52:S81,S91)</f>
        <v>527951.86430669681</v>
      </c>
      <c r="AA91" s="159"/>
      <c r="AB91" s="159"/>
    </row>
    <row r="92" spans="14:31">
      <c r="N92" s="145" t="s">
        <v>505</v>
      </c>
      <c r="O92" s="145" t="s">
        <v>403</v>
      </c>
      <c r="P92" s="144" t="s">
        <v>195</v>
      </c>
      <c r="Q92" s="144" t="s">
        <v>176</v>
      </c>
      <c r="R92" s="144" t="s">
        <v>203</v>
      </c>
      <c r="S92" s="145" t="s">
        <v>335</v>
      </c>
      <c r="T92" s="323">
        <f t="shared" ref="T92:T113" ca="1" si="25">ROUND(U92/100*X92*Y92/Z92/AA92+AB92,V92)</f>
        <v>1318.25</v>
      </c>
      <c r="U92" s="439">
        <f>100+Summary!$Q$11</f>
        <v>100.715</v>
      </c>
      <c r="V92" s="81">
        <v>2</v>
      </c>
      <c r="W92" s="335">
        <f t="shared" ref="W92:W107" ca="1" si="26">X92*Y92/Z92/AA92+AB92</f>
        <v>1308.887795699148</v>
      </c>
      <c r="X92" s="158">
        <f ca="1">SUMIFS(T$86:T$91,S$86:S$91,S92)</f>
        <v>1057599.6148398046</v>
      </c>
      <c r="Y92" s="143">
        <f>SUMIFS(T$52:T$81,Q$52:Q$81,Q92,R$52:R$81,R92,S$52:S$81,S92)</f>
        <v>870081.33333333326</v>
      </c>
      <c r="Z92" s="143">
        <f>SUMIFS(T$52:T$81,S$52:S$81,S92)</f>
        <v>1060922.3333333333</v>
      </c>
      <c r="AA92" s="140">
        <f>SUMIFS(T$8:T$35,Q$8:Q$35,Q92,R$8:R$35,R92,S$8:S$35,S92)</f>
        <v>662.66666666666663</v>
      </c>
    </row>
    <row r="93" spans="14:31">
      <c r="N93" s="102" t="s">
        <v>505</v>
      </c>
      <c r="O93" s="102" t="s">
        <v>403</v>
      </c>
      <c r="P93" s="100" t="s">
        <v>195</v>
      </c>
      <c r="Q93" s="100" t="s">
        <v>176</v>
      </c>
      <c r="R93" s="100" t="s">
        <v>204</v>
      </c>
      <c r="S93" s="102" t="s">
        <v>335</v>
      </c>
      <c r="T93" s="324">
        <f t="shared" ca="1" si="25"/>
        <v>1593.34</v>
      </c>
      <c r="U93" s="439">
        <f>100+Summary!$Q$11</f>
        <v>100.715</v>
      </c>
      <c r="V93" s="81">
        <v>2</v>
      </c>
      <c r="W93" s="335">
        <f t="shared" ca="1" si="26"/>
        <v>1582.0296510087953</v>
      </c>
      <c r="X93" s="158">
        <f ca="1">SUMIFS(T$86:T$91,S$86:S$91,S93)</f>
        <v>1057599.6148398046</v>
      </c>
      <c r="Y93" s="143">
        <f>SUMIFS(T$52:T$81,Q$52:Q$81,Q93,R$52:R$81,R93,S$52:S$81,S93)</f>
        <v>42849</v>
      </c>
      <c r="Z93" s="143">
        <f>SUMIFS(T$52:T$81,S$52:S$81,S93)</f>
        <v>1060922.3333333333</v>
      </c>
      <c r="AA93" s="140">
        <f>SUMIFS(T$8:T$35,Q$8:Q$35,Q93,R$8:R$35,R93,S$8:S$35,S93)</f>
        <v>27</v>
      </c>
    </row>
    <row r="94" spans="14:31">
      <c r="N94" s="102" t="s">
        <v>505</v>
      </c>
      <c r="O94" s="102" t="s">
        <v>403</v>
      </c>
      <c r="P94" s="100" t="s">
        <v>195</v>
      </c>
      <c r="Q94" s="100" t="s">
        <v>176</v>
      </c>
      <c r="R94" s="100" t="s">
        <v>203</v>
      </c>
      <c r="S94" s="100" t="s">
        <v>281</v>
      </c>
      <c r="T94" s="324">
        <f t="shared" ca="1" si="25"/>
        <v>2.34</v>
      </c>
      <c r="U94" s="439">
        <f>100+Summary!$Q$11</f>
        <v>100.715</v>
      </c>
      <c r="V94" s="81">
        <v>2</v>
      </c>
      <c r="W94" s="335">
        <f t="shared" ca="1" si="26"/>
        <v>2.3200433544941528</v>
      </c>
      <c r="X94" s="158">
        <f ca="1">SUMIFS(T$86:T$91,S$86:S$91,S94)</f>
        <v>2277205.4401051463</v>
      </c>
      <c r="Y94" s="143">
        <f>SUMIFS(T$52:T$81,Q$52:Q$81,Q94,R$52:R$81,R94,S$52:S$81,S94)</f>
        <v>999140.95666666667</v>
      </c>
      <c r="Z94" s="143">
        <f>SUMIFS(T$52:T$81,S$52:S$81,S94)</f>
        <v>1197473.5866666667</v>
      </c>
      <c r="AA94" s="140">
        <f>SUMIFS(T$8:T$35,Q$8:Q$35,Q94,R$8:R$35,R94,S$8:S$35,S94)</f>
        <v>818967.99726775964</v>
      </c>
    </row>
    <row r="95" spans="14:31">
      <c r="N95" s="102" t="s">
        <v>505</v>
      </c>
      <c r="O95" s="102" t="s">
        <v>403</v>
      </c>
      <c r="P95" s="100" t="s">
        <v>195</v>
      </c>
      <c r="Q95" s="100" t="s">
        <v>176</v>
      </c>
      <c r="R95" s="100" t="s">
        <v>204</v>
      </c>
      <c r="S95" s="100" t="s">
        <v>281</v>
      </c>
      <c r="T95" s="324">
        <f t="shared" ca="1" si="25"/>
        <v>2.09</v>
      </c>
      <c r="U95" s="439">
        <f>100+Summary!$Q$11</f>
        <v>100.715</v>
      </c>
      <c r="V95" s="81">
        <v>2</v>
      </c>
      <c r="W95" s="335">
        <f t="shared" ca="1" si="26"/>
        <v>2.0728256199988744</v>
      </c>
      <c r="X95" s="158">
        <f ca="1">SUMIFS(T$86:T$91,S$86:S$91,S95)</f>
        <v>2277205.4401051463</v>
      </c>
      <c r="Y95" s="143">
        <f>SUMIFS(T$52:T$81,Q$52:Q$81,Q95,R$52:R$81,R95,S$52:S$81,S95)</f>
        <v>114671.27</v>
      </c>
      <c r="Z95" s="143">
        <f>SUMIFS(T$52:T$81,S$52:S$81,S95)</f>
        <v>1197473.5866666667</v>
      </c>
      <c r="AA95" s="140">
        <f>SUMIFS(T$8:T$35,Q$8:Q$35,Q95,R$8:R$35,R95,S$8:S$35,S95)</f>
        <v>105203</v>
      </c>
    </row>
    <row r="96" spans="14:31">
      <c r="N96" s="102" t="s">
        <v>505</v>
      </c>
      <c r="O96" s="102" t="s">
        <v>403</v>
      </c>
      <c r="P96" s="100" t="s">
        <v>195</v>
      </c>
      <c r="Q96" s="100" t="s">
        <v>176</v>
      </c>
      <c r="R96" s="100" t="s">
        <v>195</v>
      </c>
      <c r="S96" s="100" t="s">
        <v>202</v>
      </c>
      <c r="T96" s="324">
        <f t="shared" ca="1" si="25"/>
        <v>9</v>
      </c>
      <c r="U96" s="439">
        <f>100+Summary!$Q$11</f>
        <v>100.715</v>
      </c>
      <c r="V96" s="81">
        <v>2</v>
      </c>
      <c r="W96" s="335">
        <f t="shared" ca="1" si="26"/>
        <v>8.9395577492777605</v>
      </c>
      <c r="X96" s="158">
        <f ca="1">SUMIFS(T$86:T$91,S$86:S$91,S96)</f>
        <v>7579525.1876767324</v>
      </c>
      <c r="Y96" s="140">
        <f>SUMIFS(T$52:T$81,Q$52:Q$81,Q96,R$52:R$81,R96,S$52:S$81,S96)</f>
        <v>6317659.4700000007</v>
      </c>
      <c r="Z96" s="140">
        <f>SUMIFS(T$52:T$81,S$52:S$81,S96)</f>
        <v>7401848.8100000005</v>
      </c>
      <c r="AA96" s="140">
        <f>SUMIFS(T$8:T$35,Q$8:Q$35,Q96,R$8:R$35,R96,S$8:S$35,S96)</f>
        <v>723672.33333333337</v>
      </c>
    </row>
    <row r="97" spans="14:31">
      <c r="N97" s="102" t="s">
        <v>505</v>
      </c>
      <c r="O97" s="102" t="s">
        <v>403</v>
      </c>
      <c r="P97" s="100" t="s">
        <v>195</v>
      </c>
      <c r="Q97" s="100" t="s">
        <v>176</v>
      </c>
      <c r="R97" s="100" t="s">
        <v>195</v>
      </c>
      <c r="S97" s="100" t="s">
        <v>207</v>
      </c>
      <c r="T97" s="324">
        <f t="shared" ca="1" si="25"/>
        <v>6.7349999999999993E-2</v>
      </c>
      <c r="U97" s="439">
        <f>100+Summary!$Q$11</f>
        <v>100.715</v>
      </c>
      <c r="V97" s="81">
        <v>5</v>
      </c>
      <c r="W97" s="335">
        <f t="shared" ca="1" si="26"/>
        <v>6.6915548657591389E-2</v>
      </c>
      <c r="X97" s="158">
        <f ca="1">SUMIFS(T$86:T$91,S$86:S$91,"kWh")</f>
        <v>22882600.257684804</v>
      </c>
      <c r="Y97" s="140">
        <f>SUMIFS(T$52:T$81,Q$52:Q$81,Q97,S$52:S$81,"kWh*")</f>
        <v>18530126.190567419</v>
      </c>
      <c r="Z97" s="140">
        <f>SUMIFS(T$52:T$81,S$52:S$81,"kWh*")</f>
        <v>21486900.859365221</v>
      </c>
      <c r="AA97" s="140">
        <f>SUMIFS(T$8:T$35,Q$8:Q$35,Q97,S$8:S$35,"kWh*")</f>
        <v>322212281.80302668</v>
      </c>
      <c r="AB97" s="311">
        <f>(T12+T28)/(T11+T12+T27+T28)*(T41-T42)</f>
        <v>5.6709376921418291E-3</v>
      </c>
    </row>
    <row r="98" spans="14:31">
      <c r="N98" s="102" t="s">
        <v>505</v>
      </c>
      <c r="O98" s="102" t="s">
        <v>403</v>
      </c>
      <c r="P98" s="100" t="s">
        <v>195</v>
      </c>
      <c r="Q98" s="100" t="s">
        <v>176</v>
      </c>
      <c r="R98" s="100" t="s">
        <v>195</v>
      </c>
      <c r="S98" s="100" t="s">
        <v>208</v>
      </c>
      <c r="T98" s="324">
        <f t="shared" ca="1" si="25"/>
        <v>5.8020000000000002E-2</v>
      </c>
      <c r="U98" s="439">
        <f>100+Summary!$Q$11</f>
        <v>100.715</v>
      </c>
      <c r="V98" s="81">
        <v>5</v>
      </c>
      <c r="W98" s="335">
        <f t="shared" ca="1" si="26"/>
        <v>5.7585548657591398E-2</v>
      </c>
      <c r="X98" s="158">
        <f ca="1">SUMIFS(T$86:T$91,S$86:S$91,"kWh")</f>
        <v>22882600.257684804</v>
      </c>
      <c r="Y98" s="140">
        <f>SUMIFS(T$52:T$81,Q$52:Q$81,Q98,S$52:S$81,"kWh*")</f>
        <v>18530126.190567419</v>
      </c>
      <c r="Z98" s="140">
        <f>SUMIFS(T$52:T$81,S$52:S$81,"kWh*")</f>
        <v>21486900.859365221</v>
      </c>
      <c r="AA98" s="140">
        <f>SUMIFS(T$8:T$35,Q$8:Q$35,Q98,S$8:S$35,"kWh*")</f>
        <v>322212281.80302668</v>
      </c>
      <c r="AB98" s="311">
        <f>(T11+T27)/(T11+T12+T27+T28)*(T42-T41)</f>
        <v>-3.6590623078581706E-3</v>
      </c>
      <c r="AC98" s="311">
        <f ca="1">ROUND(U98/100*X98*Y98/Z98/AA98,V98)</f>
        <v>6.1679999999999999E-2</v>
      </c>
      <c r="AE98" s="312"/>
    </row>
    <row r="99" spans="14:31">
      <c r="N99" s="102" t="s">
        <v>505</v>
      </c>
      <c r="O99" s="102" t="s">
        <v>403</v>
      </c>
      <c r="P99" s="100" t="s">
        <v>195</v>
      </c>
      <c r="Q99" s="100" t="s">
        <v>176</v>
      </c>
      <c r="R99" s="100" t="s">
        <v>195</v>
      </c>
      <c r="S99" s="100" t="s">
        <v>201</v>
      </c>
      <c r="T99" s="324">
        <f t="shared" si="25"/>
        <v>0.56999999999999995</v>
      </c>
      <c r="U99" s="439">
        <f>100+Summary!$Q$11</f>
        <v>100.715</v>
      </c>
      <c r="V99" s="81">
        <v>2</v>
      </c>
      <c r="W99" s="335">
        <f t="shared" si="26"/>
        <v>0.56999999999999984</v>
      </c>
      <c r="X99" s="158">
        <f t="shared" ref="X99:X104" si="27">SUMIFS(T$86:T$91,S$86:S$91,S99)</f>
        <v>85500.939999999988</v>
      </c>
      <c r="Y99" s="140">
        <f t="shared" ref="Y99:Y104" si="28">SUMIFS(T$52:T$81,Q$52:Q$81,Q99,R$52:R$81,R99,S$52:S$81,S99)</f>
        <v>79984.299999999988</v>
      </c>
      <c r="Z99" s="140">
        <f t="shared" ref="Z99:Z104" si="29">SUMIFS(T$52:T$81,S$52:S$81,S99)</f>
        <v>85500.939999999988</v>
      </c>
      <c r="AA99" s="140">
        <f t="shared" ref="AA99:AA104" si="30">SUMIFS(T$8:T$35,Q$8:Q$35,Q99,R$8:R$35,R99,S$8:S$35,S99)</f>
        <v>140323.33333333334</v>
      </c>
    </row>
    <row r="100" spans="14:31">
      <c r="N100" s="102" t="s">
        <v>505</v>
      </c>
      <c r="O100" s="102" t="s">
        <v>403</v>
      </c>
      <c r="P100" s="100" t="s">
        <v>195</v>
      </c>
      <c r="Q100" s="100" t="s">
        <v>177</v>
      </c>
      <c r="R100" s="100" t="s">
        <v>203</v>
      </c>
      <c r="S100" s="102" t="s">
        <v>335</v>
      </c>
      <c r="T100" s="324">
        <f t="shared" ca="1" si="25"/>
        <v>1349.37</v>
      </c>
      <c r="U100" s="439">
        <f>100+Summary!$Q$11</f>
        <v>100.715</v>
      </c>
      <c r="V100" s="81">
        <v>2</v>
      </c>
      <c r="W100" s="335">
        <f t="shared" ca="1" si="26"/>
        <v>1339.7907063363709</v>
      </c>
      <c r="X100" s="158">
        <f t="shared" ca="1" si="27"/>
        <v>1057599.6148398046</v>
      </c>
      <c r="Y100" s="140">
        <f t="shared" si="28"/>
        <v>128576</v>
      </c>
      <c r="Z100" s="140">
        <f t="shared" si="29"/>
        <v>1060922.3333333333</v>
      </c>
      <c r="AA100" s="140">
        <f t="shared" si="30"/>
        <v>95.666666666666671</v>
      </c>
    </row>
    <row r="101" spans="14:31">
      <c r="N101" s="102" t="s">
        <v>505</v>
      </c>
      <c r="O101" s="102" t="s">
        <v>403</v>
      </c>
      <c r="P101" s="100" t="s">
        <v>195</v>
      </c>
      <c r="Q101" s="100" t="s">
        <v>177</v>
      </c>
      <c r="R101" s="100" t="s">
        <v>204</v>
      </c>
      <c r="S101" s="102" t="s">
        <v>335</v>
      </c>
      <c r="T101" s="324">
        <f t="shared" ca="1" si="25"/>
        <v>1624.47</v>
      </c>
      <c r="U101" s="439">
        <f>100+Summary!$Q$11</f>
        <v>100.715</v>
      </c>
      <c r="V101" s="81">
        <v>2</v>
      </c>
      <c r="W101" s="335">
        <f t="shared" ca="1" si="26"/>
        <v>1612.932561646018</v>
      </c>
      <c r="X101" s="158">
        <f t="shared" ca="1" si="27"/>
        <v>1057599.6148398046</v>
      </c>
      <c r="Y101" s="140">
        <f t="shared" si="28"/>
        <v>19416</v>
      </c>
      <c r="Z101" s="140">
        <f t="shared" si="29"/>
        <v>1060922.3333333333</v>
      </c>
      <c r="AA101" s="140">
        <f t="shared" si="30"/>
        <v>12</v>
      </c>
    </row>
    <row r="102" spans="14:31">
      <c r="N102" s="102" t="s">
        <v>505</v>
      </c>
      <c r="O102" s="102" t="s">
        <v>403</v>
      </c>
      <c r="P102" s="100" t="s">
        <v>195</v>
      </c>
      <c r="Q102" s="100" t="s">
        <v>177</v>
      </c>
      <c r="R102" s="100" t="s">
        <v>203</v>
      </c>
      <c r="S102" s="100" t="s">
        <v>281</v>
      </c>
      <c r="T102" s="324">
        <f t="shared" ca="1" si="25"/>
        <v>1.17</v>
      </c>
      <c r="U102" s="439">
        <f>100+Summary!$Q$11</f>
        <v>100.715</v>
      </c>
      <c r="V102" s="81">
        <v>2</v>
      </c>
      <c r="W102" s="335">
        <f t="shared" ca="1" si="26"/>
        <v>1.1600216772470764</v>
      </c>
      <c r="X102" s="158">
        <f t="shared" ca="1" si="27"/>
        <v>2277205.4401051463</v>
      </c>
      <c r="Y102" s="140">
        <f t="shared" si="28"/>
        <v>56458.36</v>
      </c>
      <c r="Z102" s="140">
        <f t="shared" si="29"/>
        <v>1197473.5866666667</v>
      </c>
      <c r="AA102" s="140">
        <f t="shared" si="30"/>
        <v>92554.688524590165</v>
      </c>
      <c r="AC102" s="311"/>
    </row>
    <row r="103" spans="14:31">
      <c r="N103" s="102" t="s">
        <v>505</v>
      </c>
      <c r="O103" s="102" t="s">
        <v>403</v>
      </c>
      <c r="P103" s="100" t="s">
        <v>195</v>
      </c>
      <c r="Q103" s="100" t="s">
        <v>177</v>
      </c>
      <c r="R103" s="100" t="s">
        <v>204</v>
      </c>
      <c r="S103" s="100" t="s">
        <v>281</v>
      </c>
      <c r="T103" s="324">
        <f t="shared" ca="1" si="25"/>
        <v>0.96</v>
      </c>
      <c r="U103" s="439">
        <f>100+Summary!$Q$11</f>
        <v>100.715</v>
      </c>
      <c r="V103" s="81">
        <v>2</v>
      </c>
      <c r="W103" s="335">
        <f t="shared" ca="1" si="26"/>
        <v>0.95083744036645612</v>
      </c>
      <c r="X103" s="158">
        <f t="shared" ca="1" si="27"/>
        <v>2277205.4401051463</v>
      </c>
      <c r="Y103" s="140">
        <f t="shared" si="28"/>
        <v>27203</v>
      </c>
      <c r="Z103" s="140">
        <f t="shared" si="29"/>
        <v>1197473.5866666667</v>
      </c>
      <c r="AA103" s="140">
        <f t="shared" si="30"/>
        <v>54406</v>
      </c>
    </row>
    <row r="104" spans="14:31">
      <c r="N104" s="102" t="s">
        <v>505</v>
      </c>
      <c r="O104" s="102" t="s">
        <v>403</v>
      </c>
      <c r="P104" s="100" t="s">
        <v>195</v>
      </c>
      <c r="Q104" s="100" t="s">
        <v>177</v>
      </c>
      <c r="R104" s="100" t="s">
        <v>195</v>
      </c>
      <c r="S104" s="100" t="s">
        <v>202</v>
      </c>
      <c r="T104" s="324">
        <f t="shared" ca="1" si="25"/>
        <v>9.08</v>
      </c>
      <c r="U104" s="439">
        <f>100+Summary!$Q$11</f>
        <v>100.715</v>
      </c>
      <c r="V104" s="81">
        <v>2</v>
      </c>
      <c r="W104" s="335">
        <f t="shared" ca="1" si="26"/>
        <v>9.0112380519638382</v>
      </c>
      <c r="X104" s="158">
        <f t="shared" ca="1" si="27"/>
        <v>7579525.1876767324</v>
      </c>
      <c r="Y104" s="140">
        <f t="shared" si="28"/>
        <v>1084189.3400000001</v>
      </c>
      <c r="Z104" s="140">
        <f t="shared" si="29"/>
        <v>7401848.8100000005</v>
      </c>
      <c r="AA104" s="140">
        <f t="shared" si="30"/>
        <v>123203.33409090909</v>
      </c>
    </row>
    <row r="105" spans="14:31">
      <c r="N105" s="102" t="s">
        <v>505</v>
      </c>
      <c r="O105" s="102" t="s">
        <v>403</v>
      </c>
      <c r="P105" s="100" t="s">
        <v>195</v>
      </c>
      <c r="Q105" s="100" t="s">
        <v>177</v>
      </c>
      <c r="R105" s="100" t="s">
        <v>195</v>
      </c>
      <c r="S105" s="100" t="s">
        <v>207</v>
      </c>
      <c r="T105" s="324">
        <f t="shared" ca="1" si="25"/>
        <v>6.6720000000000002E-2</v>
      </c>
      <c r="U105" s="439">
        <f>100+Summary!$Q$11</f>
        <v>100.715</v>
      </c>
      <c r="V105" s="81">
        <v>5</v>
      </c>
      <c r="W105" s="335">
        <f t="shared" ca="1" si="26"/>
        <v>6.6282426783824372E-2</v>
      </c>
      <c r="X105" s="158">
        <f ca="1">SUMIFS(T$86:T$91,S$86:S$91,"kWh")</f>
        <v>22882600.257684804</v>
      </c>
      <c r="Y105" s="140">
        <f>SUMIFS(T$52:T$81,Q$52:Q$81,Q105,S$52:S$81,"kWh*")</f>
        <v>2956774.6687977989</v>
      </c>
      <c r="Z105" s="140">
        <f>SUMIFS(T$52:T$81,S$52:S$81,"kWh*")</f>
        <v>21486900.859365221</v>
      </c>
      <c r="AA105" s="140">
        <f>SUMIFS(T$8:T$35,Q$8:Q$35,Q105,S$8:S$35,"kWh*")</f>
        <v>51874014.743498094</v>
      </c>
      <c r="AB105" s="311">
        <f>(T20+T34)/(T19+T20+T33+T34)*(T49-T50)</f>
        <v>5.580851516540827E-3</v>
      </c>
    </row>
    <row r="106" spans="14:31">
      <c r="N106" s="102" t="s">
        <v>505</v>
      </c>
      <c r="O106" s="102" t="s">
        <v>403</v>
      </c>
      <c r="P106" s="100" t="s">
        <v>195</v>
      </c>
      <c r="Q106" s="100" t="s">
        <v>177</v>
      </c>
      <c r="R106" s="100" t="s">
        <v>195</v>
      </c>
      <c r="S106" s="100" t="s">
        <v>208</v>
      </c>
      <c r="T106" s="324">
        <f t="shared" ca="1" si="25"/>
        <v>5.7389999999999997E-2</v>
      </c>
      <c r="U106" s="439">
        <f>100+Summary!$Q$11</f>
        <v>100.715</v>
      </c>
      <c r="V106" s="81">
        <v>5</v>
      </c>
      <c r="W106" s="335">
        <f t="shared" ca="1" si="26"/>
        <v>5.6952426783824381E-2</v>
      </c>
      <c r="X106" s="158">
        <f ca="1">SUMIFS(T$86:T$91,S$86:S$91,"kWh")</f>
        <v>22882600.257684804</v>
      </c>
      <c r="Y106" s="140">
        <f>SUMIFS(T$52:T$81,Q$52:Q$81,Q106,S$52:S$81,"kWh*")</f>
        <v>2956774.6687977989</v>
      </c>
      <c r="Z106" s="140">
        <f>SUMIFS(T$52:T$81,S$52:S$81,"kWh*")</f>
        <v>21486900.859365221</v>
      </c>
      <c r="AA106" s="140">
        <f>SUMIFS(T$8:T$35,Q$8:Q$35,Q106,S$8:S$35,"kWh*")</f>
        <v>51874014.743498094</v>
      </c>
      <c r="AB106" s="311">
        <f>(T19+T33)/(T19+T20+T33+T34)*(T50-T49)</f>
        <v>-3.7491484834591728E-3</v>
      </c>
      <c r="AC106" s="311">
        <f ca="1">ROUND(U106/100*X106*Y106/Z106/AA106,V106)</f>
        <v>6.114E-2</v>
      </c>
      <c r="AE106" s="312"/>
    </row>
    <row r="107" spans="14:31">
      <c r="N107" s="102" t="s">
        <v>505</v>
      </c>
      <c r="O107" s="102" t="s">
        <v>403</v>
      </c>
      <c r="P107" s="100" t="s">
        <v>195</v>
      </c>
      <c r="Q107" s="100" t="s">
        <v>177</v>
      </c>
      <c r="R107" s="100" t="s">
        <v>195</v>
      </c>
      <c r="S107" s="100" t="s">
        <v>201</v>
      </c>
      <c r="T107" s="324">
        <f t="shared" si="25"/>
        <v>0.56000000000000005</v>
      </c>
      <c r="U107" s="595">
        <f>100+Summary!$Q$11</f>
        <v>100.715</v>
      </c>
      <c r="V107" s="536">
        <v>2</v>
      </c>
      <c r="W107" s="537">
        <f t="shared" si="26"/>
        <v>0.56000000000000005</v>
      </c>
      <c r="X107" s="162">
        <f>SUMIFS(T$86:T$91,S$86:S$91,S107)</f>
        <v>85500.939999999988</v>
      </c>
      <c r="Y107" s="354">
        <f>SUMIFS(T$52:T$81,Q$52:Q$81,Q107,R$52:R$81,R107,S$52:S$81,S107)</f>
        <v>5516.64</v>
      </c>
      <c r="Z107" s="354">
        <f>SUMIFS(T$52:T$81,S$52:S$81,S107)</f>
        <v>85500.939999999988</v>
      </c>
      <c r="AA107" s="354">
        <f>SUMIFS(T$8:T$35,Q$8:Q$35,Q107,R$8:R$35,R107,S$8:S$35,S107)</f>
        <v>9851.1428571428569</v>
      </c>
      <c r="AB107" s="404"/>
      <c r="AC107" s="404"/>
      <c r="AD107" s="404"/>
      <c r="AE107" s="404"/>
    </row>
    <row r="108" spans="14:31">
      <c r="N108" s="102" t="s">
        <v>505</v>
      </c>
      <c r="O108" s="102" t="s">
        <v>403</v>
      </c>
      <c r="P108" s="100" t="s">
        <v>195</v>
      </c>
      <c r="Q108" s="102" t="s">
        <v>509</v>
      </c>
      <c r="R108" s="102" t="s">
        <v>195</v>
      </c>
      <c r="S108" s="102" t="s">
        <v>335</v>
      </c>
      <c r="T108" s="324">
        <f ca="1">ROUND(U108/100*X108*Y108/Z108/AA108+AB108,V108)</f>
        <v>3625.57</v>
      </c>
      <c r="U108" s="596">
        <v>100</v>
      </c>
      <c r="V108" s="81">
        <v>2</v>
      </c>
      <c r="W108" s="335">
        <f t="shared" ref="W108:W113" ca="1" si="31">X108*Y108/Z108/AA108+AB108</f>
        <v>3625.5699999999997</v>
      </c>
      <c r="X108" s="158">
        <f ca="1">'Sch.48T-DF'!O34*AA108</f>
        <v>2890787.813333333</v>
      </c>
      <c r="Y108" s="140">
        <v>1</v>
      </c>
      <c r="Z108" s="140">
        <v>1</v>
      </c>
      <c r="AA108" s="140">
        <f>SUMIFS(T$8:T$35,S$8:S$35,S108)</f>
        <v>797.33333333333326</v>
      </c>
      <c r="AB108" s="557"/>
    </row>
    <row r="109" spans="14:31">
      <c r="N109" s="102" t="s">
        <v>505</v>
      </c>
      <c r="O109" s="102" t="s">
        <v>403</v>
      </c>
      <c r="P109" s="100" t="s">
        <v>195</v>
      </c>
      <c r="Q109" s="102" t="s">
        <v>509</v>
      </c>
      <c r="R109" s="102" t="s">
        <v>195</v>
      </c>
      <c r="S109" s="100" t="s">
        <v>281</v>
      </c>
      <c r="T109" s="324">
        <f ca="1">ROUND(U109/100*X109*Y109/Z109/AA109+AB109,V109)</f>
        <v>1.66</v>
      </c>
      <c r="U109" s="439">
        <f>100+Summary!$Q$11</f>
        <v>100.715</v>
      </c>
      <c r="V109" s="81">
        <v>2</v>
      </c>
      <c r="W109" s="335">
        <f t="shared" ca="1" si="31"/>
        <v>1.6444630897884938</v>
      </c>
      <c r="X109" s="158">
        <f ca="1">X87</f>
        <v>1761436.5215884454</v>
      </c>
      <c r="Y109" s="140">
        <v>1</v>
      </c>
      <c r="Z109" s="140">
        <v>1</v>
      </c>
      <c r="AA109" s="140">
        <f>SUMIFS(T$8:T$35,S$8:S$35,S109)</f>
        <v>1071131.6857923497</v>
      </c>
      <c r="AB109" s="557"/>
      <c r="AD109" s="559"/>
    </row>
    <row r="110" spans="14:31">
      <c r="N110" s="102" t="s">
        <v>505</v>
      </c>
      <c r="O110" s="102" t="s">
        <v>403</v>
      </c>
      <c r="P110" s="100" t="s">
        <v>195</v>
      </c>
      <c r="Q110" s="102" t="s">
        <v>509</v>
      </c>
      <c r="R110" s="100" t="s">
        <v>195</v>
      </c>
      <c r="S110" s="100" t="s">
        <v>202</v>
      </c>
      <c r="T110" s="324">
        <f ca="1">ROUND(U110/100*X110*Y110/Z110/AA110+AB110,V110)</f>
        <v>7.85</v>
      </c>
      <c r="U110" s="439">
        <f>100+Summary!$Q$11</f>
        <v>100.715</v>
      </c>
      <c r="V110" s="81">
        <v>2</v>
      </c>
      <c r="W110" s="335">
        <f t="shared" ca="1" si="31"/>
        <v>7.7913002602720773</v>
      </c>
      <c r="X110" s="158">
        <f ca="1">X88</f>
        <v>6598262.6080205897</v>
      </c>
      <c r="Y110" s="140">
        <v>1</v>
      </c>
      <c r="Z110" s="140">
        <v>1</v>
      </c>
      <c r="AA110" s="140">
        <f>SUMIFS(T$8:T$35,S$8:S$35,S110)</f>
        <v>846875.66742424248</v>
      </c>
      <c r="AB110" s="4"/>
      <c r="AD110" s="559"/>
    </row>
    <row r="111" spans="14:31">
      <c r="N111" s="102" t="s">
        <v>505</v>
      </c>
      <c r="O111" s="102" t="s">
        <v>403</v>
      </c>
      <c r="P111" s="100" t="s">
        <v>195</v>
      </c>
      <c r="Q111" s="102" t="s">
        <v>509</v>
      </c>
      <c r="R111" s="100" t="s">
        <v>195</v>
      </c>
      <c r="S111" s="100" t="s">
        <v>207</v>
      </c>
      <c r="T111" s="324">
        <f ca="1">ROUND(U111/100*X111*Y111/Z111/AA111+AB111,V111)</f>
        <v>5.9499999999999997E-2</v>
      </c>
      <c r="U111" s="439">
        <f>100+Summary!$Q$11</f>
        <v>100.715</v>
      </c>
      <c r="V111" s="81">
        <v>5</v>
      </c>
      <c r="W111" s="335">
        <f t="shared" ca="1" si="31"/>
        <v>5.9117122913221257E-2</v>
      </c>
      <c r="X111" s="158">
        <f ca="1">X89</f>
        <v>19998158.625494525</v>
      </c>
      <c r="Y111" s="140">
        <v>1</v>
      </c>
      <c r="Z111" s="140">
        <v>1</v>
      </c>
      <c r="AA111" s="140">
        <f>SUMIFS(T$8:T$35,S$8:S$35,"kWh*")</f>
        <v>374086296.54652482</v>
      </c>
      <c r="AB111" s="311">
        <f>(T$12+T$20+T$28+T$34)/(T$11+T$12+T$19+T$20+T$27+T$28+T$33+T$34)*(T$41-T$42)</f>
        <v>5.6584455702853118E-3</v>
      </c>
      <c r="AD111" s="559"/>
    </row>
    <row r="112" spans="14:31">
      <c r="N112" s="102" t="s">
        <v>505</v>
      </c>
      <c r="O112" s="102" t="s">
        <v>403</v>
      </c>
      <c r="P112" s="100" t="s">
        <v>195</v>
      </c>
      <c r="Q112" s="102" t="s">
        <v>509</v>
      </c>
      <c r="R112" s="100" t="s">
        <v>195</v>
      </c>
      <c r="S112" s="100" t="s">
        <v>208</v>
      </c>
      <c r="T112" s="324">
        <f t="shared" ca="1" si="25"/>
        <v>5.0169999999999999E-2</v>
      </c>
      <c r="U112" s="439">
        <f>100+Summary!$Q$11</f>
        <v>100.715</v>
      </c>
      <c r="V112" s="81">
        <v>5</v>
      </c>
      <c r="W112" s="335">
        <f t="shared" ca="1" si="31"/>
        <v>4.9787122913221259E-2</v>
      </c>
      <c r="X112" s="158">
        <f ca="1">X89</f>
        <v>19998158.625494525</v>
      </c>
      <c r="Y112" s="140">
        <v>1</v>
      </c>
      <c r="Z112" s="140">
        <v>1</v>
      </c>
      <c r="AA112" s="140">
        <f>SUMIFS(T$8:T$35,S$8:S$35,"kWh*")</f>
        <v>374086296.54652482</v>
      </c>
      <c r="AB112" s="311">
        <f>(T$11+T$19+T$27+T$33)/(T$11+T$12+T$19+T$20+T$27+T$28+T$33+T$34)*(T$42-T$41)</f>
        <v>-3.6715544297146858E-3</v>
      </c>
      <c r="AC112" s="311">
        <f ca="1">ROUND(X112/AA112,5)</f>
        <v>5.3460000000000001E-2</v>
      </c>
    </row>
    <row r="113" spans="14:28">
      <c r="N113" s="150" t="s">
        <v>505</v>
      </c>
      <c r="O113" s="150" t="s">
        <v>403</v>
      </c>
      <c r="P113" s="152" t="s">
        <v>195</v>
      </c>
      <c r="Q113" s="150" t="s">
        <v>509</v>
      </c>
      <c r="R113" s="152" t="s">
        <v>195</v>
      </c>
      <c r="S113" s="152" t="s">
        <v>201</v>
      </c>
      <c r="T113" s="325">
        <f t="shared" si="25"/>
        <v>0.56999999999999995</v>
      </c>
      <c r="U113" s="439">
        <f>100+Summary!$Q$11</f>
        <v>100.715</v>
      </c>
      <c r="V113" s="81">
        <v>2</v>
      </c>
      <c r="W113" s="335">
        <f t="shared" si="31"/>
        <v>0.56934402016194485</v>
      </c>
      <c r="X113" s="158">
        <f>X90</f>
        <v>85500.939999999988</v>
      </c>
      <c r="Y113" s="140">
        <v>1</v>
      </c>
      <c r="Z113" s="140">
        <v>1</v>
      </c>
      <c r="AA113" s="140">
        <f>SUMIFS(T$8:T$35,S$8:S$35,S113)</f>
        <v>150174.47619047618</v>
      </c>
      <c r="AB113" s="4"/>
    </row>
    <row r="114" spans="14:28">
      <c r="N114" s="145" t="s">
        <v>505</v>
      </c>
      <c r="O114" s="145" t="s">
        <v>29</v>
      </c>
      <c r="P114" s="144" t="s">
        <v>5</v>
      </c>
      <c r="Q114" s="144" t="s">
        <v>176</v>
      </c>
      <c r="R114" s="144" t="s">
        <v>203</v>
      </c>
      <c r="S114" s="145" t="s">
        <v>335</v>
      </c>
      <c r="T114" s="220">
        <f t="shared" ref="T114:T147" ca="1" si="32">IF(S114="Unbilled",SUMIFS(T$52:T$81,P$52:P$81,P114,S$52:S$81,S114),SUMIFS(T$92:T$107,Q$92:Q$107,Q114,R$92:R$107,R114,S$92:S$107,S114)*V114)</f>
        <v>466221.08333333326</v>
      </c>
      <c r="U114" s="81">
        <f t="shared" ref="U114:U147" ca="1" si="33">IF(S114="Unbilled",SUMIFS(T$52:T$81,P$52:P$81,P114,S$52:S$81,S114),SUMIFS(W$92:W$107,Q$92:Q$107,Q114,R$92:R$107,R114,S$92:S$107,S114)*V114)</f>
        <v>462909.98374559864</v>
      </c>
      <c r="V114" s="140">
        <f t="shared" ref="V114:V147" si="34">SUMIFS(T$8:T$35,P$8:P$35,P114,Q$8:Q$35,Q114,R$8:R$35,R114,S$8:S$35,S114)</f>
        <v>353.66666666666663</v>
      </c>
      <c r="W114" s="81">
        <f ca="1">IF(S114="Unbilled",SUMIFS(T$52:T$81,P$52:P$81,P114,S$52:S$81,S114),SUMIFS(W$108:W$113,S$108:S$113,S114)*V114)</f>
        <v>1282243.2566666664</v>
      </c>
      <c r="Y114" s="140"/>
    </row>
    <row r="115" spans="14:28">
      <c r="N115" s="102" t="s">
        <v>505</v>
      </c>
      <c r="O115" s="102" t="s">
        <v>29</v>
      </c>
      <c r="P115" s="100" t="s">
        <v>5</v>
      </c>
      <c r="Q115" s="100" t="s">
        <v>176</v>
      </c>
      <c r="R115" s="100" t="s">
        <v>204</v>
      </c>
      <c r="S115" s="102" t="s">
        <v>335</v>
      </c>
      <c r="T115" s="217">
        <f t="shared" ca="1" si="32"/>
        <v>0</v>
      </c>
      <c r="U115" s="81">
        <f t="shared" ca="1" si="33"/>
        <v>0</v>
      </c>
      <c r="V115" s="140">
        <f t="shared" si="34"/>
        <v>0</v>
      </c>
      <c r="W115" s="81">
        <f t="shared" ref="W115:W147" ca="1" si="35">IF(S115="Unbilled",SUMIFS(T$52:T$81,P$52:P$81,P115,S$52:S$81,S115),SUMIFS(W$108:W$113,S$108:S$113,S115)*V115)</f>
        <v>0</v>
      </c>
    </row>
    <row r="116" spans="14:28">
      <c r="N116" s="102" t="s">
        <v>505</v>
      </c>
      <c r="O116" s="102" t="s">
        <v>29</v>
      </c>
      <c r="P116" s="100" t="s">
        <v>5</v>
      </c>
      <c r="Q116" s="100" t="s">
        <v>176</v>
      </c>
      <c r="R116" s="100" t="s">
        <v>203</v>
      </c>
      <c r="S116" s="100" t="s">
        <v>281</v>
      </c>
      <c r="T116" s="217">
        <f t="shared" ca="1" si="32"/>
        <v>968701.49360655737</v>
      </c>
      <c r="U116" s="81">
        <f t="shared" ca="1" si="33"/>
        <v>960439.9413378007</v>
      </c>
      <c r="V116" s="140">
        <f t="shared" si="34"/>
        <v>413974.99726775958</v>
      </c>
      <c r="W116" s="81">
        <f t="shared" ca="1" si="35"/>
        <v>680766.60310212313</v>
      </c>
    </row>
    <row r="117" spans="14:28">
      <c r="N117" s="102" t="s">
        <v>505</v>
      </c>
      <c r="O117" s="102" t="s">
        <v>29</v>
      </c>
      <c r="P117" s="100" t="s">
        <v>5</v>
      </c>
      <c r="Q117" s="100" t="s">
        <v>176</v>
      </c>
      <c r="R117" s="100" t="s">
        <v>204</v>
      </c>
      <c r="S117" s="100" t="s">
        <v>281</v>
      </c>
      <c r="T117" s="217">
        <f t="shared" ca="1" si="32"/>
        <v>0</v>
      </c>
      <c r="U117" s="81">
        <f t="shared" ca="1" si="33"/>
        <v>0</v>
      </c>
      <c r="V117" s="140">
        <f t="shared" si="34"/>
        <v>0</v>
      </c>
      <c r="W117" s="81">
        <f t="shared" ca="1" si="35"/>
        <v>0</v>
      </c>
    </row>
    <row r="118" spans="14:28">
      <c r="N118" s="102" t="s">
        <v>505</v>
      </c>
      <c r="O118" s="102" t="s">
        <v>29</v>
      </c>
      <c r="P118" s="100" t="s">
        <v>5</v>
      </c>
      <c r="Q118" s="100" t="s">
        <v>176</v>
      </c>
      <c r="R118" s="100" t="s">
        <v>195</v>
      </c>
      <c r="S118" s="100" t="s">
        <v>202</v>
      </c>
      <c r="T118" s="217">
        <f t="shared" ca="1" si="32"/>
        <v>2626914.0000000005</v>
      </c>
      <c r="U118" s="81">
        <f t="shared" ca="1" si="33"/>
        <v>2609272.1561540267</v>
      </c>
      <c r="V118" s="140">
        <f t="shared" si="34"/>
        <v>291879.33333333337</v>
      </c>
      <c r="W118" s="81">
        <f t="shared" ca="1" si="35"/>
        <v>2274119.5257680407</v>
      </c>
    </row>
    <row r="119" spans="14:28">
      <c r="N119" s="102" t="s">
        <v>505</v>
      </c>
      <c r="O119" s="102" t="s">
        <v>29</v>
      </c>
      <c r="P119" s="100" t="s">
        <v>5</v>
      </c>
      <c r="Q119" s="100" t="s">
        <v>176</v>
      </c>
      <c r="R119" s="100" t="s">
        <v>195</v>
      </c>
      <c r="S119" s="100" t="s">
        <v>207</v>
      </c>
      <c r="T119" s="217">
        <f t="shared" ca="1" si="32"/>
        <v>3310478.1107221181</v>
      </c>
      <c r="U119" s="81">
        <f t="shared" ca="1" si="33"/>
        <v>3289123.3719067131</v>
      </c>
      <c r="V119" s="140">
        <f t="shared" si="34"/>
        <v>49153349.825124249</v>
      </c>
      <c r="W119" s="81">
        <f t="shared" ca="1" si="35"/>
        <v>2905804.6232084329</v>
      </c>
      <c r="Y119" s="335"/>
      <c r="Z119" s="361"/>
    </row>
    <row r="120" spans="14:28">
      <c r="N120" s="102" t="s">
        <v>505</v>
      </c>
      <c r="O120" s="102" t="s">
        <v>29</v>
      </c>
      <c r="P120" s="100" t="s">
        <v>5</v>
      </c>
      <c r="Q120" s="100" t="s">
        <v>176</v>
      </c>
      <c r="R120" s="100" t="s">
        <v>195</v>
      </c>
      <c r="S120" s="100" t="s">
        <v>208</v>
      </c>
      <c r="T120" s="217">
        <f t="shared" ca="1" si="32"/>
        <v>4309123.8634937322</v>
      </c>
      <c r="U120" s="81">
        <f t="shared" ca="1" si="33"/>
        <v>4276857.3235575063</v>
      </c>
      <c r="V120" s="140">
        <f t="shared" si="34"/>
        <v>74269628.808923334</v>
      </c>
      <c r="W120" s="81">
        <f t="shared" ca="1" si="35"/>
        <v>3697671.1382291848</v>
      </c>
    </row>
    <row r="121" spans="14:28">
      <c r="N121" s="102" t="s">
        <v>505</v>
      </c>
      <c r="O121" s="102" t="s">
        <v>29</v>
      </c>
      <c r="P121" s="100" t="s">
        <v>5</v>
      </c>
      <c r="Q121" s="100" t="s">
        <v>176</v>
      </c>
      <c r="R121" s="100" t="s">
        <v>195</v>
      </c>
      <c r="S121" s="100" t="s">
        <v>201</v>
      </c>
      <c r="T121" s="217">
        <f t="shared" si="32"/>
        <v>17939.23</v>
      </c>
      <c r="U121" s="81">
        <f t="shared" si="33"/>
        <v>17939.229999999996</v>
      </c>
      <c r="V121" s="140">
        <f t="shared" si="34"/>
        <v>31472.333333333332</v>
      </c>
      <c r="W121" s="81">
        <f t="shared" si="35"/>
        <v>17918.58478387678</v>
      </c>
    </row>
    <row r="122" spans="14:28">
      <c r="N122" s="102" t="s">
        <v>505</v>
      </c>
      <c r="O122" s="102" t="s">
        <v>29</v>
      </c>
      <c r="P122" s="100" t="s">
        <v>5</v>
      </c>
      <c r="Q122" s="100" t="s">
        <v>177</v>
      </c>
      <c r="R122" s="100" t="s">
        <v>203</v>
      </c>
      <c r="S122" s="102" t="s">
        <v>335</v>
      </c>
      <c r="T122" s="217">
        <f t="shared" ca="1" si="32"/>
        <v>112897.29</v>
      </c>
      <c r="U122" s="81">
        <f t="shared" ca="1" si="33"/>
        <v>112095.82243014305</v>
      </c>
      <c r="V122" s="140">
        <f t="shared" si="34"/>
        <v>83.666666666666671</v>
      </c>
      <c r="W122" s="81">
        <f t="shared" ca="1" si="35"/>
        <v>303339.35666666669</v>
      </c>
    </row>
    <row r="123" spans="14:28">
      <c r="N123" s="102" t="s">
        <v>505</v>
      </c>
      <c r="O123" s="102" t="s">
        <v>29</v>
      </c>
      <c r="P123" s="100" t="s">
        <v>5</v>
      </c>
      <c r="Q123" s="100" t="s">
        <v>177</v>
      </c>
      <c r="R123" s="100" t="s">
        <v>204</v>
      </c>
      <c r="S123" s="102" t="s">
        <v>335</v>
      </c>
      <c r="T123" s="217">
        <f t="shared" ca="1" si="32"/>
        <v>19493.64</v>
      </c>
      <c r="U123" s="81">
        <f t="shared" ca="1" si="33"/>
        <v>19355.190739752215</v>
      </c>
      <c r="V123" s="140">
        <f t="shared" si="34"/>
        <v>12</v>
      </c>
      <c r="W123" s="81">
        <f t="shared" ca="1" si="35"/>
        <v>43506.84</v>
      </c>
      <c r="Y123" s="140"/>
    </row>
    <row r="124" spans="14:28">
      <c r="N124" s="102" t="s">
        <v>505</v>
      </c>
      <c r="O124" s="102" t="s">
        <v>29</v>
      </c>
      <c r="P124" s="100" t="s">
        <v>5</v>
      </c>
      <c r="Q124" s="100" t="s">
        <v>177</v>
      </c>
      <c r="R124" s="100" t="s">
        <v>203</v>
      </c>
      <c r="S124" s="100" t="s">
        <v>281</v>
      </c>
      <c r="T124" s="217">
        <f t="shared" ca="1" si="32"/>
        <v>107025.38557377049</v>
      </c>
      <c r="U124" s="81">
        <f t="shared" ca="1" si="33"/>
        <v>106112.62160794897</v>
      </c>
      <c r="V124" s="140">
        <f t="shared" si="34"/>
        <v>91474.688524590165</v>
      </c>
      <c r="W124" s="81">
        <f t="shared" ca="1" si="35"/>
        <v>150426.74892858762</v>
      </c>
      <c r="Y124" s="140"/>
    </row>
    <row r="125" spans="14:28">
      <c r="N125" s="102" t="s">
        <v>505</v>
      </c>
      <c r="O125" s="102" t="s">
        <v>29</v>
      </c>
      <c r="P125" s="100" t="s">
        <v>5</v>
      </c>
      <c r="Q125" s="100" t="s">
        <v>177</v>
      </c>
      <c r="R125" s="100" t="s">
        <v>204</v>
      </c>
      <c r="S125" s="100" t="s">
        <v>281</v>
      </c>
      <c r="T125" s="217">
        <f t="shared" ca="1" si="32"/>
        <v>52229.759999999995</v>
      </c>
      <c r="U125" s="81">
        <f t="shared" ca="1" si="33"/>
        <v>51731.261780577413</v>
      </c>
      <c r="V125" s="140">
        <f t="shared" si="34"/>
        <v>54406</v>
      </c>
      <c r="W125" s="81">
        <f t="shared" ca="1" si="35"/>
        <v>89468.65886303279</v>
      </c>
      <c r="Y125" s="140"/>
    </row>
    <row r="126" spans="14:28">
      <c r="N126" s="102" t="s">
        <v>505</v>
      </c>
      <c r="O126" s="102" t="s">
        <v>29</v>
      </c>
      <c r="P126" s="100" t="s">
        <v>5</v>
      </c>
      <c r="Q126" s="100" t="s">
        <v>177</v>
      </c>
      <c r="R126" s="100" t="s">
        <v>195</v>
      </c>
      <c r="S126" s="100" t="s">
        <v>202</v>
      </c>
      <c r="T126" s="217">
        <f t="shared" ca="1" si="32"/>
        <v>1064206.2735454545</v>
      </c>
      <c r="U126" s="81">
        <f t="shared" ca="1" si="33"/>
        <v>1056147.1439770306</v>
      </c>
      <c r="V126" s="140">
        <f t="shared" si="34"/>
        <v>117203.33409090909</v>
      </c>
      <c r="W126" s="81">
        <f t="shared" ca="1" si="35"/>
        <v>913166.36740725522</v>
      </c>
      <c r="Y126" s="140"/>
    </row>
    <row r="127" spans="14:28">
      <c r="N127" s="102" t="s">
        <v>505</v>
      </c>
      <c r="O127" s="102" t="s">
        <v>29</v>
      </c>
      <c r="P127" s="100" t="s">
        <v>5</v>
      </c>
      <c r="Q127" s="100" t="s">
        <v>177</v>
      </c>
      <c r="R127" s="100" t="s">
        <v>195</v>
      </c>
      <c r="S127" s="100" t="s">
        <v>207</v>
      </c>
      <c r="T127" s="217">
        <f t="shared" ca="1" si="32"/>
        <v>1379606.1295297679</v>
      </c>
      <c r="U127" s="81">
        <f t="shared" ca="1" si="33"/>
        <v>1370558.1875160697</v>
      </c>
      <c r="V127" s="140">
        <f t="shared" si="34"/>
        <v>20677549.9030241</v>
      </c>
      <c r="W127" s="81">
        <f t="shared" ca="1" si="35"/>
        <v>1222397.2591613419</v>
      </c>
      <c r="Y127" s="140"/>
    </row>
    <row r="128" spans="14:28">
      <c r="N128" s="102" t="s">
        <v>505</v>
      </c>
      <c r="O128" s="102" t="s">
        <v>29</v>
      </c>
      <c r="P128" s="100" t="s">
        <v>5</v>
      </c>
      <c r="Q128" s="100" t="s">
        <v>177</v>
      </c>
      <c r="R128" s="100" t="s">
        <v>195</v>
      </c>
      <c r="S128" s="100" t="s">
        <v>208</v>
      </c>
      <c r="T128" s="217">
        <f t="shared" ca="1" si="32"/>
        <v>1765469.346639961</v>
      </c>
      <c r="U128" s="81">
        <f t="shared" ca="1" si="33"/>
        <v>1752008.4283603181</v>
      </c>
      <c r="V128" s="140">
        <f t="shared" si="34"/>
        <v>30762665.039901745</v>
      </c>
      <c r="W128" s="81">
        <f t="shared" ca="1" si="35"/>
        <v>1531584.5854798427</v>
      </c>
      <c r="Y128" s="140"/>
    </row>
    <row r="129" spans="14:25">
      <c r="N129" s="102" t="s">
        <v>505</v>
      </c>
      <c r="O129" s="102" t="s">
        <v>29</v>
      </c>
      <c r="P129" s="100" t="s">
        <v>5</v>
      </c>
      <c r="Q129" s="100" t="s">
        <v>177</v>
      </c>
      <c r="R129" s="100" t="s">
        <v>195</v>
      </c>
      <c r="S129" s="100" t="s">
        <v>201</v>
      </c>
      <c r="T129" s="217">
        <f t="shared" si="32"/>
        <v>5180.08</v>
      </c>
      <c r="U129" s="81">
        <f t="shared" si="33"/>
        <v>5180.08</v>
      </c>
      <c r="V129" s="140">
        <f t="shared" si="34"/>
        <v>9250.1428571428569</v>
      </c>
      <c r="W129" s="81">
        <f t="shared" si="35"/>
        <v>5266.5135213580124</v>
      </c>
      <c r="Y129" s="140"/>
    </row>
    <row r="130" spans="14:25">
      <c r="N130" s="150" t="s">
        <v>505</v>
      </c>
      <c r="O130" s="150" t="s">
        <v>29</v>
      </c>
      <c r="P130" s="152" t="s">
        <v>5</v>
      </c>
      <c r="Q130" s="152" t="s">
        <v>195</v>
      </c>
      <c r="R130" s="152" t="s">
        <v>195</v>
      </c>
      <c r="S130" s="216" t="s">
        <v>168</v>
      </c>
      <c r="T130" s="218">
        <f t="shared" si="32"/>
        <v>211823.16276683079</v>
      </c>
      <c r="U130" s="81">
        <f t="shared" si="33"/>
        <v>211823.16276683079</v>
      </c>
      <c r="V130" s="140">
        <f t="shared" si="34"/>
        <v>0</v>
      </c>
      <c r="W130" s="81">
        <f t="shared" si="35"/>
        <v>211823.16276683079</v>
      </c>
      <c r="Y130" s="140"/>
    </row>
    <row r="131" spans="14:25">
      <c r="N131" s="145" t="s">
        <v>505</v>
      </c>
      <c r="O131" s="145" t="s">
        <v>29</v>
      </c>
      <c r="P131" s="146" t="s">
        <v>7</v>
      </c>
      <c r="Q131" s="144" t="s">
        <v>176</v>
      </c>
      <c r="R131" s="144" t="s">
        <v>203</v>
      </c>
      <c r="S131" s="145" t="s">
        <v>335</v>
      </c>
      <c r="T131" s="220">
        <f t="shared" ca="1" si="32"/>
        <v>407339.25</v>
      </c>
      <c r="U131" s="81">
        <f t="shared" ca="1" si="33"/>
        <v>404446.32887103671</v>
      </c>
      <c r="V131" s="140">
        <f t="shared" si="34"/>
        <v>309</v>
      </c>
      <c r="W131" s="81">
        <f t="shared" ca="1" si="35"/>
        <v>1120301.1299999999</v>
      </c>
      <c r="Y131" s="140"/>
    </row>
    <row r="132" spans="14:25">
      <c r="N132" s="102" t="s">
        <v>505</v>
      </c>
      <c r="O132" s="102" t="s">
        <v>29</v>
      </c>
      <c r="P132" s="148" t="s">
        <v>7</v>
      </c>
      <c r="Q132" s="100" t="s">
        <v>176</v>
      </c>
      <c r="R132" s="100" t="s">
        <v>204</v>
      </c>
      <c r="S132" s="102" t="s">
        <v>335</v>
      </c>
      <c r="T132" s="217">
        <f t="shared" ca="1" si="32"/>
        <v>43020.18</v>
      </c>
      <c r="U132" s="81">
        <f t="shared" ca="1" si="33"/>
        <v>42714.800577237474</v>
      </c>
      <c r="V132" s="140">
        <f t="shared" si="34"/>
        <v>27</v>
      </c>
      <c r="W132" s="81">
        <f t="shared" ca="1" si="35"/>
        <v>97890.389999999985</v>
      </c>
      <c r="Y132" s="140"/>
    </row>
    <row r="133" spans="14:25">
      <c r="N133" s="102" t="s">
        <v>505</v>
      </c>
      <c r="O133" s="102" t="s">
        <v>29</v>
      </c>
      <c r="P133" s="148" t="s">
        <v>7</v>
      </c>
      <c r="Q133" s="100" t="s">
        <v>176</v>
      </c>
      <c r="R133" s="100" t="s">
        <v>203</v>
      </c>
      <c r="S133" s="100" t="s">
        <v>281</v>
      </c>
      <c r="T133" s="217">
        <f t="shared" ca="1" si="32"/>
        <v>947683.62</v>
      </c>
      <c r="U133" s="81">
        <f t="shared" ca="1" si="33"/>
        <v>939601.31826665043</v>
      </c>
      <c r="V133" s="140">
        <f t="shared" si="34"/>
        <v>404993</v>
      </c>
      <c r="W133" s="81">
        <f t="shared" ca="1" si="35"/>
        <v>665996.04012271145</v>
      </c>
      <c r="Y133" s="140"/>
    </row>
    <row r="134" spans="14:25">
      <c r="N134" s="102" t="s">
        <v>505</v>
      </c>
      <c r="O134" s="102" t="s">
        <v>29</v>
      </c>
      <c r="P134" s="148" t="s">
        <v>7</v>
      </c>
      <c r="Q134" s="100" t="s">
        <v>176</v>
      </c>
      <c r="R134" s="100" t="s">
        <v>204</v>
      </c>
      <c r="S134" s="100" t="s">
        <v>281</v>
      </c>
      <c r="T134" s="217">
        <f t="shared" ca="1" si="32"/>
        <v>219874.27</v>
      </c>
      <c r="U134" s="81">
        <f t="shared" ca="1" si="33"/>
        <v>218067.47370074157</v>
      </c>
      <c r="V134" s="140">
        <f t="shared" si="34"/>
        <v>105203</v>
      </c>
      <c r="W134" s="81">
        <f t="shared" ca="1" si="35"/>
        <v>173002.45043501889</v>
      </c>
      <c r="Y134" s="140"/>
    </row>
    <row r="135" spans="14:25">
      <c r="N135" s="102" t="s">
        <v>505</v>
      </c>
      <c r="O135" s="102" t="s">
        <v>29</v>
      </c>
      <c r="P135" s="148" t="s">
        <v>7</v>
      </c>
      <c r="Q135" s="100" t="s">
        <v>176</v>
      </c>
      <c r="R135" s="100" t="s">
        <v>195</v>
      </c>
      <c r="S135" s="100" t="s">
        <v>202</v>
      </c>
      <c r="T135" s="217">
        <f t="shared" ca="1" si="32"/>
        <v>3886137</v>
      </c>
      <c r="U135" s="81">
        <f t="shared" ca="1" si="33"/>
        <v>3860038.4592338922</v>
      </c>
      <c r="V135" s="140">
        <f t="shared" si="34"/>
        <v>431793</v>
      </c>
      <c r="W135" s="81">
        <f t="shared" ca="1" si="35"/>
        <v>3364228.913283661</v>
      </c>
      <c r="Y135" s="140"/>
    </row>
    <row r="136" spans="14:25">
      <c r="N136" s="102" t="s">
        <v>505</v>
      </c>
      <c r="O136" s="102" t="s">
        <v>29</v>
      </c>
      <c r="P136" s="148" t="s">
        <v>7</v>
      </c>
      <c r="Q136" s="100" t="s">
        <v>176</v>
      </c>
      <c r="R136" s="100" t="s">
        <v>195</v>
      </c>
      <c r="S136" s="100" t="s">
        <v>207</v>
      </c>
      <c r="T136" s="217">
        <f t="shared" ca="1" si="32"/>
        <v>5200272.2453553611</v>
      </c>
      <c r="U136" s="81">
        <f t="shared" ca="1" si="33"/>
        <v>5166727.1041840939</v>
      </c>
      <c r="V136" s="140">
        <f t="shared" si="34"/>
        <v>77212653.977065504</v>
      </c>
      <c r="W136" s="81">
        <f t="shared" ca="1" si="35"/>
        <v>4564589.9556182036</v>
      </c>
      <c r="Y136" s="140"/>
    </row>
    <row r="137" spans="14:25">
      <c r="N137" s="102" t="s">
        <v>505</v>
      </c>
      <c r="O137" s="102" t="s">
        <v>29</v>
      </c>
      <c r="P137" s="148" t="s">
        <v>7</v>
      </c>
      <c r="Q137" s="100" t="s">
        <v>176</v>
      </c>
      <c r="R137" s="100" t="s">
        <v>195</v>
      </c>
      <c r="S137" s="100" t="s">
        <v>208</v>
      </c>
      <c r="T137" s="217">
        <f t="shared" ca="1" si="32"/>
        <v>7053877.186114829</v>
      </c>
      <c r="U137" s="81">
        <f t="shared" ca="1" si="33"/>
        <v>7001058.0476678628</v>
      </c>
      <c r="V137" s="140">
        <f t="shared" si="34"/>
        <v>121576649.19191363</v>
      </c>
      <c r="W137" s="81">
        <f t="shared" ca="1" si="35"/>
        <v>6052951.5766953863</v>
      </c>
      <c r="Y137" s="140"/>
    </row>
    <row r="138" spans="14:25">
      <c r="N138" s="102" t="s">
        <v>505</v>
      </c>
      <c r="O138" s="102" t="s">
        <v>29</v>
      </c>
      <c r="P138" s="148" t="s">
        <v>7</v>
      </c>
      <c r="Q138" s="100" t="s">
        <v>176</v>
      </c>
      <c r="R138" s="100" t="s">
        <v>195</v>
      </c>
      <c r="S138" s="100" t="s">
        <v>201</v>
      </c>
      <c r="T138" s="217">
        <f t="shared" si="32"/>
        <v>62045.069999999992</v>
      </c>
      <c r="U138" s="81">
        <f t="shared" si="33"/>
        <v>62045.069999999985</v>
      </c>
      <c r="V138" s="140">
        <f t="shared" si="34"/>
        <v>108851</v>
      </c>
      <c r="W138" s="81">
        <f t="shared" si="35"/>
        <v>61973.665938647857</v>
      </c>
      <c r="Y138" s="140"/>
    </row>
    <row r="139" spans="14:25">
      <c r="N139" s="102" t="s">
        <v>505</v>
      </c>
      <c r="O139" s="102" t="s">
        <v>29</v>
      </c>
      <c r="P139" s="148" t="s">
        <v>7</v>
      </c>
      <c r="Q139" s="100" t="s">
        <v>177</v>
      </c>
      <c r="R139" s="100" t="s">
        <v>203</v>
      </c>
      <c r="S139" s="102" t="s">
        <v>335</v>
      </c>
      <c r="T139" s="217">
        <f t="shared" ca="1" si="32"/>
        <v>16192.439999999999</v>
      </c>
      <c r="U139" s="81">
        <f t="shared" ca="1" si="33"/>
        <v>16077.488476036451</v>
      </c>
      <c r="V139" s="140">
        <f t="shared" si="34"/>
        <v>12</v>
      </c>
      <c r="W139" s="81">
        <f t="shared" ca="1" si="35"/>
        <v>43506.84</v>
      </c>
      <c r="Y139" s="140"/>
    </row>
    <row r="140" spans="14:25">
      <c r="N140" s="102" t="s">
        <v>505</v>
      </c>
      <c r="O140" s="102" t="s">
        <v>29</v>
      </c>
      <c r="P140" s="148" t="s">
        <v>7</v>
      </c>
      <c r="Q140" s="100" t="s">
        <v>177</v>
      </c>
      <c r="R140" s="100" t="s">
        <v>204</v>
      </c>
      <c r="S140" s="102" t="s">
        <v>335</v>
      </c>
      <c r="T140" s="217">
        <f t="shared" ca="1" si="32"/>
        <v>0</v>
      </c>
      <c r="U140" s="81">
        <f t="shared" ca="1" si="33"/>
        <v>0</v>
      </c>
      <c r="V140" s="140">
        <f t="shared" si="34"/>
        <v>0</v>
      </c>
      <c r="W140" s="81">
        <f t="shared" ca="1" si="35"/>
        <v>0</v>
      </c>
      <c r="Y140" s="140"/>
    </row>
    <row r="141" spans="14:25">
      <c r="N141" s="102" t="s">
        <v>505</v>
      </c>
      <c r="O141" s="102" t="s">
        <v>29</v>
      </c>
      <c r="P141" s="148" t="s">
        <v>7</v>
      </c>
      <c r="Q141" s="100" t="s">
        <v>177</v>
      </c>
      <c r="R141" s="100" t="s">
        <v>203</v>
      </c>
      <c r="S141" s="100" t="s">
        <v>281</v>
      </c>
      <c r="T141" s="217">
        <f t="shared" ca="1" si="32"/>
        <v>1263.5999999999999</v>
      </c>
      <c r="U141" s="81">
        <f t="shared" ca="1" si="33"/>
        <v>1252.8234114268425</v>
      </c>
      <c r="V141" s="140">
        <f t="shared" si="34"/>
        <v>1080</v>
      </c>
      <c r="W141" s="81">
        <f t="shared" ca="1" si="35"/>
        <v>1776.0201369715733</v>
      </c>
      <c r="Y141" s="140"/>
    </row>
    <row r="142" spans="14:25">
      <c r="N142" s="102" t="s">
        <v>505</v>
      </c>
      <c r="O142" s="102" t="s">
        <v>29</v>
      </c>
      <c r="P142" s="148" t="s">
        <v>7</v>
      </c>
      <c r="Q142" s="100" t="s">
        <v>177</v>
      </c>
      <c r="R142" s="100" t="s">
        <v>204</v>
      </c>
      <c r="S142" s="100" t="s">
        <v>281</v>
      </c>
      <c r="T142" s="217">
        <f t="shared" ca="1" si="32"/>
        <v>0</v>
      </c>
      <c r="U142" s="81">
        <f t="shared" ca="1" si="33"/>
        <v>0</v>
      </c>
      <c r="V142" s="140">
        <f t="shared" si="34"/>
        <v>0</v>
      </c>
      <c r="W142" s="81">
        <f t="shared" ca="1" si="35"/>
        <v>0</v>
      </c>
      <c r="Y142" s="140"/>
    </row>
    <row r="143" spans="14:25">
      <c r="N143" s="102" t="s">
        <v>505</v>
      </c>
      <c r="O143" s="102" t="s">
        <v>29</v>
      </c>
      <c r="P143" s="148" t="s">
        <v>7</v>
      </c>
      <c r="Q143" s="100" t="s">
        <v>177</v>
      </c>
      <c r="R143" s="100" t="s">
        <v>195</v>
      </c>
      <c r="S143" s="100" t="s">
        <v>202</v>
      </c>
      <c r="T143" s="217">
        <f t="shared" ca="1" si="32"/>
        <v>54479.999999999993</v>
      </c>
      <c r="U143" s="81">
        <f t="shared" ca="1" si="33"/>
        <v>54067.42831178302</v>
      </c>
      <c r="V143" s="140">
        <f t="shared" si="34"/>
        <v>5999.9999999999991</v>
      </c>
      <c r="W143" s="81">
        <f t="shared" ca="1" si="35"/>
        <v>46747.801561632456</v>
      </c>
      <c r="Y143" s="140"/>
    </row>
    <row r="144" spans="14:25">
      <c r="N144" s="102" t="s">
        <v>505</v>
      </c>
      <c r="O144" s="102" t="s">
        <v>29</v>
      </c>
      <c r="P144" s="148" t="s">
        <v>7</v>
      </c>
      <c r="Q144" s="100" t="s">
        <v>177</v>
      </c>
      <c r="R144" s="100" t="s">
        <v>195</v>
      </c>
      <c r="S144" s="100" t="s">
        <v>207</v>
      </c>
      <c r="T144" s="217">
        <f t="shared" ca="1" si="32"/>
        <v>11168.935947116001</v>
      </c>
      <c r="U144" s="81">
        <f t="shared" ca="1" si="33"/>
        <v>11095.68613860822</v>
      </c>
      <c r="V144" s="140">
        <f t="shared" si="34"/>
        <v>167400.11911145085</v>
      </c>
      <c r="W144" s="81">
        <f t="shared" ca="1" si="35"/>
        <v>9896.2134171995185</v>
      </c>
      <c r="Y144" s="140"/>
    </row>
    <row r="145" spans="14:31">
      <c r="N145" s="102" t="s">
        <v>505</v>
      </c>
      <c r="O145" s="102" t="s">
        <v>29</v>
      </c>
      <c r="P145" s="148" t="s">
        <v>7</v>
      </c>
      <c r="Q145" s="100" t="s">
        <v>177</v>
      </c>
      <c r="R145" s="100" t="s">
        <v>195</v>
      </c>
      <c r="S145" s="100" t="s">
        <v>208</v>
      </c>
      <c r="T145" s="217">
        <f t="shared" ca="1" si="32"/>
        <v>15288.677719035759</v>
      </c>
      <c r="U145" s="81">
        <f t="shared" ca="1" si="33"/>
        <v>15172.108353630794</v>
      </c>
      <c r="V145" s="140">
        <f t="shared" si="34"/>
        <v>266399.6814608078</v>
      </c>
      <c r="W145" s="81">
        <f t="shared" ca="1" si="35"/>
        <v>13263.273684932228</v>
      </c>
      <c r="Y145" s="140"/>
    </row>
    <row r="146" spans="14:31">
      <c r="N146" s="102" t="s">
        <v>505</v>
      </c>
      <c r="O146" s="102" t="s">
        <v>29</v>
      </c>
      <c r="P146" s="148" t="s">
        <v>7</v>
      </c>
      <c r="Q146" s="100" t="s">
        <v>177</v>
      </c>
      <c r="R146" s="100" t="s">
        <v>195</v>
      </c>
      <c r="S146" s="100" t="s">
        <v>201</v>
      </c>
      <c r="T146" s="217">
        <f t="shared" si="32"/>
        <v>336.56000000000006</v>
      </c>
      <c r="U146" s="81">
        <f t="shared" si="33"/>
        <v>336.56000000000006</v>
      </c>
      <c r="V146" s="140">
        <f t="shared" si="34"/>
        <v>601</v>
      </c>
      <c r="W146" s="81">
        <f t="shared" si="35"/>
        <v>342.17575611732883</v>
      </c>
      <c r="X146" s="415"/>
      <c r="Y146" s="353"/>
      <c r="Z146" s="320"/>
      <c r="AA146" s="516" t="s">
        <v>572</v>
      </c>
      <c r="AB146" s="539"/>
      <c r="AC146" s="538"/>
      <c r="AD146" s="346" t="s">
        <v>6</v>
      </c>
      <c r="AE146" s="538"/>
    </row>
    <row r="147" spans="14:31">
      <c r="N147" s="150" t="s">
        <v>505</v>
      </c>
      <c r="O147" s="150" t="s">
        <v>29</v>
      </c>
      <c r="P147" s="151" t="s">
        <v>7</v>
      </c>
      <c r="Q147" s="152" t="s">
        <v>195</v>
      </c>
      <c r="R147" s="152" t="s">
        <v>195</v>
      </c>
      <c r="S147" s="216" t="s">
        <v>168</v>
      </c>
      <c r="T147" s="218">
        <f t="shared" si="32"/>
        <v>316128.70153986604</v>
      </c>
      <c r="U147" s="81">
        <f t="shared" si="33"/>
        <v>316128.70153986604</v>
      </c>
      <c r="V147" s="140">
        <f t="shared" si="34"/>
        <v>0</v>
      </c>
      <c r="W147" s="81">
        <f t="shared" si="35"/>
        <v>316128.70153986604</v>
      </c>
      <c r="X147" s="388" t="s">
        <v>509</v>
      </c>
      <c r="Y147" s="389"/>
      <c r="Z147" s="399"/>
      <c r="AA147" s="540" t="s">
        <v>571</v>
      </c>
      <c r="AB147" s="235" t="s">
        <v>574</v>
      </c>
      <c r="AC147" s="235" t="s">
        <v>573</v>
      </c>
      <c r="AD147" s="235" t="s">
        <v>575</v>
      </c>
      <c r="AE147" s="235" t="s">
        <v>576</v>
      </c>
    </row>
    <row r="148" spans="14:31">
      <c r="N148" s="309" t="s">
        <v>540</v>
      </c>
      <c r="O148" s="264" t="s">
        <v>29</v>
      </c>
      <c r="P148" s="219" t="s">
        <v>195</v>
      </c>
      <c r="Q148" s="219" t="s">
        <v>195</v>
      </c>
      <c r="R148" s="219" t="s">
        <v>195</v>
      </c>
      <c r="S148" s="219" t="s">
        <v>195</v>
      </c>
      <c r="T148" s="220">
        <f ca="1">'Cost of Service and Proposed $'!X123</f>
        <v>233506.05590894437</v>
      </c>
      <c r="X148" s="415">
        <f ca="1">(T148-AA148-AB148-AC148)*AD148/AE148</f>
        <v>224589.26352854446</v>
      </c>
      <c r="Y148" s="437"/>
      <c r="Z148" s="437"/>
      <c r="AA148" s="275">
        <v>0</v>
      </c>
      <c r="AB148" s="141">
        <v>0</v>
      </c>
      <c r="AC148" s="141">
        <v>0</v>
      </c>
      <c r="AD148" s="141">
        <f t="shared" ref="AD148:AD151" si="36">($T$11+$T$12+$T$27+$T$28)+($T$19+$T$20+$T$33+$T$34)</f>
        <v>374086296.54652476</v>
      </c>
      <c r="AE148" s="141">
        <f>($T$11+$T$12+$T$27+$T$28)*$AE$77+($T$19+$T$20+$T$33+$T$34)*$AE$78</f>
        <v>388938519.60586137</v>
      </c>
    </row>
    <row r="149" spans="14:31">
      <c r="N149" s="327" t="s">
        <v>541</v>
      </c>
      <c r="O149" s="90" t="s">
        <v>29</v>
      </c>
      <c r="P149" s="215" t="s">
        <v>195</v>
      </c>
      <c r="Q149" s="215" t="s">
        <v>195</v>
      </c>
      <c r="R149" s="215" t="s">
        <v>195</v>
      </c>
      <c r="S149" s="215" t="s">
        <v>195</v>
      </c>
      <c r="T149" s="217">
        <f ca="1">'Cost of Service and Proposed $'!X124</f>
        <v>12008929.539562715</v>
      </c>
      <c r="X149" s="393">
        <f ca="1">(T149-AA149-AB149-AC149)*AD149/AE149</f>
        <v>8135805.1375046736</v>
      </c>
      <c r="Y149" s="436"/>
      <c r="Z149" s="436"/>
      <c r="AA149" s="275">
        <f ca="1">'Cost of Service and Proposed $'!X115</f>
        <v>920677.22301006387</v>
      </c>
      <c r="AB149" s="141">
        <f ca="1">'Cost of Service and Proposed $'!X116</f>
        <v>2496370.4334273189</v>
      </c>
      <c r="AC149" s="141">
        <f ca="1">'Cost of Service and Proposed $'!X117</f>
        <v>133063.5965557684</v>
      </c>
      <c r="AD149" s="141">
        <f t="shared" si="36"/>
        <v>374086296.54652476</v>
      </c>
      <c r="AE149" s="141">
        <f>($T$11+$T$12+$T$27+$T$28)*$AE$77+($T$19+$T$20+$T$33+$T$34)*$AE$78</f>
        <v>388938519.60586137</v>
      </c>
    </row>
    <row r="150" spans="14:31">
      <c r="N150" s="327" t="s">
        <v>542</v>
      </c>
      <c r="O150" s="90" t="s">
        <v>29</v>
      </c>
      <c r="P150" s="215" t="s">
        <v>195</v>
      </c>
      <c r="Q150" s="215" t="s">
        <v>195</v>
      </c>
      <c r="R150" s="215" t="s">
        <v>195</v>
      </c>
      <c r="S150" s="215" t="s">
        <v>195</v>
      </c>
      <c r="T150" s="217">
        <f ca="1">'Cost of Service and Proposed $'!X125</f>
        <v>3806427.5439030989</v>
      </c>
      <c r="X150" s="393">
        <f ca="1">(T150-AA150-AB150-AC150)*AD150/AE150</f>
        <v>3661073.1804460119</v>
      </c>
      <c r="Y150" s="436"/>
      <c r="Z150" s="436"/>
      <c r="AA150" s="275">
        <v>0</v>
      </c>
      <c r="AB150" s="141">
        <v>0</v>
      </c>
      <c r="AC150" s="141">
        <v>0</v>
      </c>
      <c r="AD150" s="141">
        <f t="shared" si="36"/>
        <v>374086296.54652476</v>
      </c>
      <c r="AE150" s="141">
        <f>($T$11+$T$12+$T$27+$T$28)*$AE$77+($T$19+$T$20+$T$33+$T$34)*$AE$78</f>
        <v>388938519.60586137</v>
      </c>
    </row>
    <row r="151" spans="14:31">
      <c r="N151" s="310" t="s">
        <v>543</v>
      </c>
      <c r="O151" s="265" t="s">
        <v>29</v>
      </c>
      <c r="P151" s="216" t="s">
        <v>195</v>
      </c>
      <c r="Q151" s="216" t="s">
        <v>195</v>
      </c>
      <c r="R151" s="216" t="s">
        <v>195</v>
      </c>
      <c r="S151" s="216" t="s">
        <v>195</v>
      </c>
      <c r="T151" s="218">
        <f ca="1">'Cost of Service and Proposed $'!X126</f>
        <v>20588158.885394216</v>
      </c>
      <c r="X151" s="394">
        <f ca="1">(T151-AA151-AB151-AC151)*AD151/AE151</f>
        <v>19801967.976721026</v>
      </c>
      <c r="Y151" s="541"/>
      <c r="Z151" s="541"/>
      <c r="AA151" s="321">
        <v>0</v>
      </c>
      <c r="AB151" s="142">
        <v>0</v>
      </c>
      <c r="AC151" s="142">
        <v>0</v>
      </c>
      <c r="AD151" s="142">
        <f t="shared" si="36"/>
        <v>374086296.54652476</v>
      </c>
      <c r="AE151" s="142">
        <f>($T$11+$T$12+$T$27+$T$28)*$AE$77+($T$19+$T$20+$T$33+$T$34)*$AE$78</f>
        <v>388938519.60586137</v>
      </c>
    </row>
    <row r="152" spans="14:31">
      <c r="N152" s="396" t="s">
        <v>535</v>
      </c>
      <c r="O152" s="264" t="s">
        <v>29</v>
      </c>
      <c r="P152" s="144" t="s">
        <v>195</v>
      </c>
      <c r="Q152" s="219" t="s">
        <v>195</v>
      </c>
      <c r="R152" s="219" t="s">
        <v>195</v>
      </c>
      <c r="S152" s="145" t="s">
        <v>335</v>
      </c>
      <c r="T152" s="220">
        <f ca="1">(U152*(V152-W152)+W152*100)/100</f>
        <v>1037500.0350725293</v>
      </c>
      <c r="U152" s="333">
        <f>$U$86</f>
        <v>10</v>
      </c>
      <c r="V152" s="158">
        <f ca="1">T148*(1-SUM(V156:V157)/SUM(T148:T151))</f>
        <v>229596.21452710129</v>
      </c>
      <c r="W152" s="81" cm="1">
        <f t="array" aca="1" ref="W152" ca="1">SUMIFS(T$114:T$147,S$114:S$147,"Bill")/SUM(SUMIFS(T$114:T$147,S$114:S$147,{"Bill","Load Size kW","kW","kWh*"}))*(SUM(T$148:T$151)-SUM(W$156:W$157))</f>
        <v>1127267.1262442435</v>
      </c>
      <c r="X152" s="220">
        <f ca="1">(U152*(Y152-Z152)+Z152*100)/100</f>
        <v>901000.21527058352</v>
      </c>
      <c r="Y152" s="141">
        <f ca="1">X148*(1-SUM(Y156:Y157)/SUM(X148:X151))</f>
        <v>220259.90966991434</v>
      </c>
      <c r="Z152" s="141" cm="1">
        <f t="array" aca="1" ref="Z152" ca="1">SUMIFS(T$114:T$147,S$114:S$147,"Bill")/SUM(SUMIFS(T$114:T$147,S$114:S$147,{"Bill","Load Size kW","kW","kWh*"}))*(SUM(X$148:X$151)-SUM(Z$156:Z$157))</f>
        <v>976638.02700399118</v>
      </c>
      <c r="AA152" s="159"/>
      <c r="AB152" s="159"/>
    </row>
    <row r="153" spans="14:31">
      <c r="N153" s="395" t="s">
        <v>535</v>
      </c>
      <c r="O153" s="90" t="s">
        <v>29</v>
      </c>
      <c r="P153" s="100" t="s">
        <v>195</v>
      </c>
      <c r="Q153" s="215" t="s">
        <v>195</v>
      </c>
      <c r="R153" s="215" t="s">
        <v>195</v>
      </c>
      <c r="S153" s="100" t="s">
        <v>281</v>
      </c>
      <c r="T153" s="217">
        <f t="shared" ref="T153:T157" ca="1" si="37">(U153*(V153-W153)+W153*100)/100</f>
        <v>3368405.5132413888</v>
      </c>
      <c r="U153" s="333">
        <f t="shared" ref="U153:U157" si="38">$U$86</f>
        <v>10</v>
      </c>
      <c r="V153" s="81">
        <f ca="1">T149*(1-SUM(V156:V157)/SUM(T148:T151))</f>
        <v>11807851.201432891</v>
      </c>
      <c r="W153" s="81" cm="1">
        <f t="array" aca="1" ref="W153" ca="1">SUMIFS(T$114:T$147,S$114:S$147,"Load Size kW")/SUM(SUMIFS(T$114:T$147,S$114:S$147,{"Bill","Load Size kW","kW","kWh*"}))*(SUM(T$148:T$151)-SUM(W$156:W$157))</f>
        <v>2430689.3256645547</v>
      </c>
      <c r="X153" s="217">
        <f t="shared" ref="X153:X157" ca="1" si="39">(U153*(Y153-Z153)+Z153*100)/100</f>
        <v>2693200.7576478659</v>
      </c>
      <c r="Y153" s="141">
        <f ca="1">X149*(1-SUM(Y156:Y157)/SUM(X148:X151))</f>
        <v>7978973.1553710224</v>
      </c>
      <c r="Z153" s="141" cm="1">
        <f t="array" aca="1" ref="Z153" ca="1">SUMIFS(T$114:T$147,S$114:S$147,"Load Size kW")/SUM(SUMIFS(T$114:T$147,S$114:S$147,{"Bill","Load Size kW","kW","kWh*"}))*(SUM(X$148:X$151)-SUM(Z$156:Z$157))</f>
        <v>2105892.7134564039</v>
      </c>
      <c r="AA153" s="159"/>
      <c r="AB153" s="159"/>
    </row>
    <row r="154" spans="14:31">
      <c r="N154" s="395" t="s">
        <v>535</v>
      </c>
      <c r="O154" s="90" t="s">
        <v>29</v>
      </c>
      <c r="P154" s="100" t="s">
        <v>195</v>
      </c>
      <c r="Q154" s="215" t="s">
        <v>195</v>
      </c>
      <c r="R154" s="100" t="s">
        <v>195</v>
      </c>
      <c r="S154" s="100" t="s">
        <v>202</v>
      </c>
      <c r="T154" s="217">
        <f t="shared" ca="1" si="37"/>
        <v>7643297.056042756</v>
      </c>
      <c r="U154" s="333">
        <f t="shared" si="38"/>
        <v>10</v>
      </c>
      <c r="V154" s="81">
        <f ca="1">T150*(1-SUM(V156:V157)/SUM(T148:T151))</f>
        <v>3742692.4605871309</v>
      </c>
      <c r="W154" s="81" cm="1">
        <f t="array" aca="1" ref="W154" ca="1">SUMIFS(T$114:T$147,S$114:S$147,"kW")/SUM(SUMIFS(T$114:T$147,S$114:S$147,{"Bill","Load Size kW","kW","kWh*"}))*(SUM(T$148:T$151)-SUM(W$156:W$157))</f>
        <v>8076697.5666489359</v>
      </c>
      <c r="X154" s="217">
        <f t="shared" ca="1" si="39"/>
        <v>6656766.629682512</v>
      </c>
      <c r="Y154" s="141">
        <f ca="1">X150*(1-SUM(Y156:Y157)/SUM(X148:X151))</f>
        <v>3590499.542813166</v>
      </c>
      <c r="Z154" s="141" cm="1">
        <f t="array" aca="1" ref="Z154" ca="1">SUMIFS(T$114:T$147,S$114:S$147,"kW")/SUM(SUMIFS(T$114:T$147,S$114:S$147,{"Bill","Load Size kW","kW","kWh*"}))*(SUM(X$148:X$151)-SUM(Z$156:Z$157))</f>
        <v>6997462.9726679958</v>
      </c>
      <c r="AA154" s="159"/>
      <c r="AB154" s="159"/>
    </row>
    <row r="155" spans="14:31">
      <c r="N155" s="395" t="s">
        <v>535</v>
      </c>
      <c r="O155" s="90" t="s">
        <v>29</v>
      </c>
      <c r="P155" s="100" t="s">
        <v>195</v>
      </c>
      <c r="Q155" s="215" t="s">
        <v>195</v>
      </c>
      <c r="R155" s="100" t="s">
        <v>195</v>
      </c>
      <c r="S155" s="100" t="s">
        <v>6</v>
      </c>
      <c r="T155" s="217">
        <f t="shared" ca="1" si="37"/>
        <v>23974366.616105609</v>
      </c>
      <c r="U155" s="333">
        <f t="shared" si="38"/>
        <v>10</v>
      </c>
      <c r="V155" s="81">
        <f ca="1">T151*(1-SUM(V156:V157)/SUM(T148:T151))</f>
        <v>20243429.343915153</v>
      </c>
      <c r="W155" s="81" cm="1">
        <f t="array" aca="1" ref="W155" ca="1">SUMIFS(T$114:T$147,S$114:S$147,"kWh*")/SUM(SUMIFS(T$114:T$147,S$114:S$147,{"Bill","Load Size kW","kW","kWh*"}))*(SUM(T$148:T$151)-SUM(W$156:W$157))</f>
        <v>24388915.20190455</v>
      </c>
      <c r="X155" s="217">
        <f t="shared" ca="1" si="39"/>
        <v>20959015.151292596</v>
      </c>
      <c r="Y155" s="141">
        <f ca="1">X151*(1-SUM(Y156:Y157)/SUM(X148:X151))</f>
        <v>19420250.146039456</v>
      </c>
      <c r="Z155" s="141" cm="1">
        <f t="array" aca="1" ref="Z155" ca="1">SUMIFS(T$114:T$147,S$114:S$147,"kWh*")/SUM(SUMIFS(T$114:T$147,S$114:S$147,{"Bill","Load Size kW","kW","kWh*"}))*(SUM(X$148:X$151)-SUM(Z$156:Z$157))</f>
        <v>21129989.040765166</v>
      </c>
      <c r="AA155" s="159"/>
      <c r="AB155" s="159"/>
    </row>
    <row r="156" spans="14:31">
      <c r="N156" s="395" t="s">
        <v>535</v>
      </c>
      <c r="O156" s="90" t="s">
        <v>29</v>
      </c>
      <c r="P156" s="100" t="s">
        <v>195</v>
      </c>
      <c r="Q156" s="215" t="s">
        <v>195</v>
      </c>
      <c r="R156" s="100" t="s">
        <v>195</v>
      </c>
      <c r="S156" s="100" t="s">
        <v>201</v>
      </c>
      <c r="T156" s="217">
        <f t="shared" si="37"/>
        <v>85500.939999999988</v>
      </c>
      <c r="U156" s="333">
        <f t="shared" si="38"/>
        <v>10</v>
      </c>
      <c r="V156" s="81">
        <f>SUMIFS(T114:T147,S114:S147,S156)</f>
        <v>85500.939999999988</v>
      </c>
      <c r="W156" s="81">
        <f>SUMIFS(T114:T147,S114:S147,S156)</f>
        <v>85500.939999999988</v>
      </c>
      <c r="X156" s="217">
        <f t="shared" si="39"/>
        <v>85500.939999999988</v>
      </c>
      <c r="Y156" s="141">
        <f>SUMIFS(T118:T147,S118:S147,S156)</f>
        <v>85500.939999999988</v>
      </c>
      <c r="Z156" s="141">
        <f>SUMIFS(T118:T147,S118:S147,S156)</f>
        <v>85500.939999999988</v>
      </c>
      <c r="AA156" s="159"/>
      <c r="AB156" s="159"/>
    </row>
    <row r="157" spans="14:31">
      <c r="N157" s="397" t="s">
        <v>535</v>
      </c>
      <c r="O157" s="265" t="s">
        <v>29</v>
      </c>
      <c r="P157" s="152" t="s">
        <v>195</v>
      </c>
      <c r="Q157" s="216" t="s">
        <v>195</v>
      </c>
      <c r="R157" s="152" t="s">
        <v>195</v>
      </c>
      <c r="S157" s="152" t="s">
        <v>168</v>
      </c>
      <c r="T157" s="218">
        <f t="shared" si="37"/>
        <v>527951.86430669681</v>
      </c>
      <c r="U157" s="333">
        <f t="shared" si="38"/>
        <v>10</v>
      </c>
      <c r="V157" s="81">
        <f>SUMIFS(T114:T147,S114:S147,S157)</f>
        <v>527951.86430669681</v>
      </c>
      <c r="W157" s="81">
        <f>SUMIFS(T114:T147,S114:S147,S157)</f>
        <v>527951.86430669681</v>
      </c>
      <c r="X157" s="218">
        <f t="shared" si="39"/>
        <v>527951.86430669681</v>
      </c>
      <c r="Y157" s="142">
        <f>SUMIFS(T118:T147,S118:S147,S157)</f>
        <v>527951.86430669681</v>
      </c>
      <c r="Z157" s="142">
        <f>SUMIFS(T118:T147,S118:S147,S157)</f>
        <v>527951.86430669681</v>
      </c>
      <c r="AA157" s="159"/>
      <c r="AB157" s="159"/>
    </row>
    <row r="158" spans="14:31">
      <c r="N158" s="145" t="s">
        <v>506</v>
      </c>
      <c r="O158" s="145" t="s">
        <v>403</v>
      </c>
      <c r="P158" s="144" t="s">
        <v>195</v>
      </c>
      <c r="Q158" s="144" t="s">
        <v>176</v>
      </c>
      <c r="R158" s="144" t="s">
        <v>203</v>
      </c>
      <c r="S158" s="145" t="s">
        <v>335</v>
      </c>
      <c r="T158" s="323">
        <f t="shared" ref="T158:T179" ca="1" si="40">ROUND(X158*Y158/Z158/AA158*U158/100+AB158,V158)</f>
        <v>1293</v>
      </c>
      <c r="U158" s="439">
        <f>100+Summary!$R$11</f>
        <v>100.7</v>
      </c>
      <c r="V158" s="81">
        <v>2</v>
      </c>
      <c r="W158" s="335">
        <f ca="1">X158*Y158/Z158/AA158+AB158</f>
        <v>1284.0131388555142</v>
      </c>
      <c r="X158" s="158">
        <f ca="1">SUMIFS(T$152:T$157,S$152:S$157,S158)</f>
        <v>1037500.0350725293</v>
      </c>
      <c r="Y158" s="143">
        <f ca="1">SUMIFS(T$114:T$147,Q$114:Q$147,Q158,R$114:R$147,R158,S$114:S$147,S158)</f>
        <v>873560.33333333326</v>
      </c>
      <c r="Z158" s="143">
        <f ca="1">SUMIFS(T$114:T$147,S$114:S$147,S158)</f>
        <v>1065163.8833333333</v>
      </c>
      <c r="AA158" s="140">
        <f>SUMIFS(T$8:T$35,Q$8:Q$35,Q158,R$8:R$35,R158,S$8:S$35,S158)</f>
        <v>662.66666666666663</v>
      </c>
      <c r="AB158" s="311"/>
      <c r="AC158" s="140"/>
    </row>
    <row r="159" spans="14:31">
      <c r="N159" s="102" t="s">
        <v>506</v>
      </c>
      <c r="O159" s="102" t="s">
        <v>403</v>
      </c>
      <c r="P159" s="100" t="s">
        <v>195</v>
      </c>
      <c r="Q159" s="100" t="s">
        <v>176</v>
      </c>
      <c r="R159" s="100" t="s">
        <v>204</v>
      </c>
      <c r="S159" s="102" t="s">
        <v>335</v>
      </c>
      <c r="T159" s="324">
        <f t="shared" ca="1" si="40"/>
        <v>1562.82</v>
      </c>
      <c r="U159" s="439">
        <f>100+Summary!$R$11</f>
        <v>100.7</v>
      </c>
      <c r="V159" s="81">
        <v>2</v>
      </c>
      <c r="W159" s="335">
        <f t="shared" ref="W159:W179" ca="1" si="41">X159*Y159/Z159/AA159+AB159</f>
        <v>1551.9586532630719</v>
      </c>
      <c r="X159" s="158">
        <f t="shared" ref="X159:X173" ca="1" si="42">SUMIFS(T$152:T$157,S$152:S$157,S159)</f>
        <v>1037500.0350725293</v>
      </c>
      <c r="Y159" s="143">
        <f t="shared" ref="Y159:Y173" ca="1" si="43">SUMIFS(T$114:T$147,Q$114:Q$147,Q159,R$114:R$147,R159,S$114:S$147,S159)</f>
        <v>43020.18</v>
      </c>
      <c r="Z159" s="143">
        <f t="shared" ref="Z159:Z173" ca="1" si="44">SUMIFS(T$114:T$147,S$114:S$147,S159)</f>
        <v>1065163.8833333333</v>
      </c>
      <c r="AA159" s="140">
        <f t="shared" ref="AA159:AA173" si="45">SUMIFS(T$8:T$35,Q$8:Q$35,Q159,R$8:R$35,R159,S$8:S$35,S159)</f>
        <v>27</v>
      </c>
      <c r="AB159" s="311"/>
      <c r="AC159" s="140"/>
    </row>
    <row r="160" spans="14:31">
      <c r="N160" s="102" t="s">
        <v>506</v>
      </c>
      <c r="O160" s="102" t="s">
        <v>403</v>
      </c>
      <c r="P160" s="100" t="s">
        <v>195</v>
      </c>
      <c r="Q160" s="100" t="s">
        <v>176</v>
      </c>
      <c r="R160" s="100" t="s">
        <v>203</v>
      </c>
      <c r="S160" s="100" t="s">
        <v>281</v>
      </c>
      <c r="T160" s="324">
        <f t="shared" ca="1" si="40"/>
        <v>3.46</v>
      </c>
      <c r="U160" s="439">
        <f>100+Summary!$R$11</f>
        <v>100.7</v>
      </c>
      <c r="V160" s="81">
        <v>2</v>
      </c>
      <c r="W160" s="335">
        <f t="shared" ca="1" si="41"/>
        <v>3.4317937814036021</v>
      </c>
      <c r="X160" s="158">
        <f t="shared" ca="1" si="42"/>
        <v>3368405.5132413888</v>
      </c>
      <c r="Y160" s="143">
        <f t="shared" ca="1" si="43"/>
        <v>1916385.1136065573</v>
      </c>
      <c r="Z160" s="143">
        <f t="shared" ca="1" si="44"/>
        <v>2296778.129180328</v>
      </c>
      <c r="AA160" s="140">
        <f t="shared" si="45"/>
        <v>818967.99726775964</v>
      </c>
      <c r="AB160" s="311"/>
      <c r="AC160" s="140"/>
    </row>
    <row r="161" spans="14:31">
      <c r="N161" s="102" t="s">
        <v>506</v>
      </c>
      <c r="O161" s="102" t="s">
        <v>403</v>
      </c>
      <c r="P161" s="100" t="s">
        <v>195</v>
      </c>
      <c r="Q161" s="100" t="s">
        <v>176</v>
      </c>
      <c r="R161" s="100" t="s">
        <v>204</v>
      </c>
      <c r="S161" s="100" t="s">
        <v>281</v>
      </c>
      <c r="T161" s="324">
        <f t="shared" ca="1" si="40"/>
        <v>3.09</v>
      </c>
      <c r="U161" s="439">
        <f>100+Summary!$R$11</f>
        <v>100.7</v>
      </c>
      <c r="V161" s="81">
        <v>2</v>
      </c>
      <c r="W161" s="335">
        <f t="shared" ca="1" si="41"/>
        <v>3.0651491466382601</v>
      </c>
      <c r="X161" s="158">
        <f t="shared" ca="1" si="42"/>
        <v>3368405.5132413888</v>
      </c>
      <c r="Y161" s="143">
        <f t="shared" ca="1" si="43"/>
        <v>219874.27</v>
      </c>
      <c r="Z161" s="143">
        <f t="shared" ca="1" si="44"/>
        <v>2296778.129180328</v>
      </c>
      <c r="AA161" s="140">
        <f t="shared" si="45"/>
        <v>105203</v>
      </c>
      <c r="AB161" s="311"/>
      <c r="AC161" s="140"/>
    </row>
    <row r="162" spans="14:31">
      <c r="N162" s="102" t="s">
        <v>506</v>
      </c>
      <c r="O162" s="102" t="s">
        <v>403</v>
      </c>
      <c r="P162" s="100" t="s">
        <v>195</v>
      </c>
      <c r="Q162" s="100" t="s">
        <v>176</v>
      </c>
      <c r="R162" s="100" t="s">
        <v>195</v>
      </c>
      <c r="S162" s="100" t="s">
        <v>202</v>
      </c>
      <c r="T162" s="324">
        <f t="shared" ca="1" si="40"/>
        <v>9.08</v>
      </c>
      <c r="U162" s="439">
        <f>100+Summary!$R$11</f>
        <v>100.7</v>
      </c>
      <c r="V162" s="81">
        <v>2</v>
      </c>
      <c r="W162" s="335">
        <f t="shared" ca="1" si="41"/>
        <v>9.0136322882649971</v>
      </c>
      <c r="X162" s="158">
        <f t="shared" ca="1" si="42"/>
        <v>7643297.056042756</v>
      </c>
      <c r="Y162" s="143">
        <f t="shared" ca="1" si="43"/>
        <v>6513051</v>
      </c>
      <c r="Z162" s="143">
        <f t="shared" ca="1" si="44"/>
        <v>7631737.2735454552</v>
      </c>
      <c r="AA162" s="140">
        <f t="shared" si="45"/>
        <v>723672.33333333337</v>
      </c>
      <c r="AB162" s="311"/>
      <c r="AC162" s="140"/>
    </row>
    <row r="163" spans="14:31">
      <c r="N163" s="102" t="s">
        <v>506</v>
      </c>
      <c r="O163" s="102" t="s">
        <v>403</v>
      </c>
      <c r="P163" s="100" t="s">
        <v>195</v>
      </c>
      <c r="Q163" s="100" t="s">
        <v>176</v>
      </c>
      <c r="R163" s="100" t="s">
        <v>195</v>
      </c>
      <c r="S163" s="100" t="s">
        <v>207</v>
      </c>
      <c r="T163" s="324">
        <f t="shared" ca="1" si="40"/>
        <v>7.0290000000000005E-2</v>
      </c>
      <c r="U163" s="439">
        <f>100+Summary!$R$11</f>
        <v>100.7</v>
      </c>
      <c r="V163" s="81">
        <v>5</v>
      </c>
      <c r="W163" s="335">
        <f t="shared" ca="1" si="41"/>
        <v>6.9836622112030497E-2</v>
      </c>
      <c r="X163" s="158">
        <f ca="1">SUMIFS(T$152:T$157,S$152:S$157,"kWh")</f>
        <v>23974366.616105609</v>
      </c>
      <c r="Y163" s="143">
        <f ca="1">SUMIFS(T$114:T$147,Q$114:Q$147,Q163,R$114:R$147,R163,S$114:S$147,"kWh*")</f>
        <v>19873751.405686039</v>
      </c>
      <c r="Z163" s="143">
        <f ca="1">SUMIFS(T$114:T$147,S$114:S$147,"kWh*")</f>
        <v>23045284.495521922</v>
      </c>
      <c r="AA163" s="140">
        <f>SUMIFS(T$8:T$35,Q$8:Q$35,Q163,R$8:R$35,R163,S$8:S$35,"kWh*")</f>
        <v>322212281.80302668</v>
      </c>
      <c r="AB163" s="311">
        <f ca="1">(T12+T28)/(T11+T12+T27+T28)*(T97-T98)</f>
        <v>5.6709376921418248E-3</v>
      </c>
      <c r="AC163" s="140"/>
      <c r="AD163" s="311"/>
    </row>
    <row r="164" spans="14:31">
      <c r="N164" s="102" t="s">
        <v>506</v>
      </c>
      <c r="O164" s="102" t="s">
        <v>403</v>
      </c>
      <c r="P164" s="100" t="s">
        <v>195</v>
      </c>
      <c r="Q164" s="100" t="s">
        <v>176</v>
      </c>
      <c r="R164" s="100" t="s">
        <v>195</v>
      </c>
      <c r="S164" s="100" t="s">
        <v>208</v>
      </c>
      <c r="T164" s="324">
        <f t="shared" ca="1" si="40"/>
        <v>6.096E-2</v>
      </c>
      <c r="U164" s="439">
        <f>100+Summary!$R$11</f>
        <v>100.7</v>
      </c>
      <c r="V164" s="81">
        <v>5</v>
      </c>
      <c r="W164" s="335">
        <f t="shared" ca="1" si="41"/>
        <v>6.0506622112030499E-2</v>
      </c>
      <c r="X164" s="158">
        <f ca="1">SUMIFS(T$152:T$157,S$152:S$157,"kWh")</f>
        <v>23974366.616105609</v>
      </c>
      <c r="Y164" s="143">
        <f ca="1">SUMIFS(T$114:T$147,Q$114:Q$147,Q164,R$114:R$147,R164,S$114:S$147,"kWh*")</f>
        <v>19873751.405686039</v>
      </c>
      <c r="Z164" s="143">
        <f ca="1">SUMIFS(T$114:T$147,S$114:S$147,"kWh*")</f>
        <v>23045284.495521922</v>
      </c>
      <c r="AA164" s="140">
        <f>SUMIFS(T$8:T$35,Q$8:Q$35,Q164,R$8:R$35,R164,S$8:S$35,"kWh*")</f>
        <v>322212281.80302668</v>
      </c>
      <c r="AB164" s="311">
        <f ca="1">(T11+T27)/(T11+T12+T27+T28)*(T98-T97)</f>
        <v>-3.659062307858168E-3</v>
      </c>
      <c r="AC164" s="311">
        <f ca="1">X164*Y164/Z164/AA164*U164/100</f>
        <v>6.4614844210827888E-2</v>
      </c>
      <c r="AD164" s="311"/>
    </row>
    <row r="165" spans="14:31">
      <c r="N165" s="102" t="s">
        <v>506</v>
      </c>
      <c r="O165" s="102" t="s">
        <v>403</v>
      </c>
      <c r="P165" s="100" t="s">
        <v>195</v>
      </c>
      <c r="Q165" s="100" t="s">
        <v>176</v>
      </c>
      <c r="R165" s="100" t="s">
        <v>195</v>
      </c>
      <c r="S165" s="100" t="s">
        <v>201</v>
      </c>
      <c r="T165" s="324">
        <f t="shared" si="40"/>
        <v>0.56999999999999995</v>
      </c>
      <c r="U165" s="439">
        <f>100+Summary!$R$11</f>
        <v>100.7</v>
      </c>
      <c r="V165" s="81">
        <v>2</v>
      </c>
      <c r="W165" s="335">
        <f t="shared" si="41"/>
        <v>0.56999999999999984</v>
      </c>
      <c r="X165" s="158">
        <f t="shared" si="42"/>
        <v>85500.939999999988</v>
      </c>
      <c r="Y165" s="143">
        <f t="shared" si="43"/>
        <v>79984.299999999988</v>
      </c>
      <c r="Z165" s="143">
        <f t="shared" si="44"/>
        <v>85500.939999999988</v>
      </c>
      <c r="AA165" s="140">
        <f t="shared" si="45"/>
        <v>140323.33333333334</v>
      </c>
      <c r="AB165" s="311"/>
    </row>
    <row r="166" spans="14:31">
      <c r="N166" s="102" t="s">
        <v>506</v>
      </c>
      <c r="O166" s="102" t="s">
        <v>403</v>
      </c>
      <c r="P166" s="100" t="s">
        <v>195</v>
      </c>
      <c r="Q166" s="100" t="s">
        <v>177</v>
      </c>
      <c r="R166" s="100" t="s">
        <v>203</v>
      </c>
      <c r="S166" s="102" t="s">
        <v>335</v>
      </c>
      <c r="T166" s="324">
        <f t="shared" ca="1" si="40"/>
        <v>1323.53</v>
      </c>
      <c r="U166" s="439">
        <f>100+Summary!$R$11</f>
        <v>100.7</v>
      </c>
      <c r="V166" s="81">
        <v>2</v>
      </c>
      <c r="W166" s="335">
        <f t="shared" ca="1" si="41"/>
        <v>1314.3249073980389</v>
      </c>
      <c r="X166" s="158">
        <f t="shared" ca="1" si="42"/>
        <v>1037500.0350725293</v>
      </c>
      <c r="Y166" s="143">
        <f t="shared" ca="1" si="43"/>
        <v>129089.73</v>
      </c>
      <c r="Z166" s="143">
        <f t="shared" ca="1" si="44"/>
        <v>1065163.8833333333</v>
      </c>
      <c r="AA166" s="140">
        <f t="shared" si="45"/>
        <v>95.666666666666671</v>
      </c>
      <c r="AB166" s="311"/>
    </row>
    <row r="167" spans="14:31">
      <c r="N167" s="102" t="s">
        <v>506</v>
      </c>
      <c r="O167" s="102" t="s">
        <v>403</v>
      </c>
      <c r="P167" s="100" t="s">
        <v>195</v>
      </c>
      <c r="Q167" s="100" t="s">
        <v>177</v>
      </c>
      <c r="R167" s="100" t="s">
        <v>204</v>
      </c>
      <c r="S167" s="102" t="s">
        <v>335</v>
      </c>
      <c r="T167" s="324">
        <f t="shared" ca="1" si="40"/>
        <v>1593.36</v>
      </c>
      <c r="U167" s="439">
        <f>100+Summary!$R$11</f>
        <v>100.7</v>
      </c>
      <c r="V167" s="81">
        <v>2</v>
      </c>
      <c r="W167" s="335">
        <f t="shared" ca="1" si="41"/>
        <v>1582.2801620911184</v>
      </c>
      <c r="X167" s="158">
        <f t="shared" ca="1" si="42"/>
        <v>1037500.0350725293</v>
      </c>
      <c r="Y167" s="143">
        <f t="shared" ca="1" si="43"/>
        <v>19493.64</v>
      </c>
      <c r="Z167" s="143">
        <f t="shared" ca="1" si="44"/>
        <v>1065163.8833333333</v>
      </c>
      <c r="AA167" s="140">
        <f t="shared" si="45"/>
        <v>12</v>
      </c>
      <c r="AB167" s="311"/>
    </row>
    <row r="168" spans="14:31">
      <c r="N168" s="102" t="s">
        <v>506</v>
      </c>
      <c r="O168" s="102" t="s">
        <v>403</v>
      </c>
      <c r="P168" s="100" t="s">
        <v>195</v>
      </c>
      <c r="Q168" s="100" t="s">
        <v>177</v>
      </c>
      <c r="R168" s="100" t="s">
        <v>203</v>
      </c>
      <c r="S168" s="100" t="s">
        <v>281</v>
      </c>
      <c r="T168" s="324">
        <f t="shared" ca="1" si="40"/>
        <v>1.73</v>
      </c>
      <c r="U168" s="439">
        <f>100+Summary!$R$11</f>
        <v>100.7</v>
      </c>
      <c r="V168" s="81">
        <v>2</v>
      </c>
      <c r="W168" s="335">
        <f t="shared" ca="1" si="41"/>
        <v>1.7158968907018013</v>
      </c>
      <c r="X168" s="158">
        <f t="shared" ca="1" si="42"/>
        <v>3368405.5132413888</v>
      </c>
      <c r="Y168" s="143">
        <f t="shared" ca="1" si="43"/>
        <v>108288.98557377049</v>
      </c>
      <c r="Z168" s="143">
        <f t="shared" ca="1" si="44"/>
        <v>2296778.129180328</v>
      </c>
      <c r="AA168" s="140">
        <f t="shared" si="45"/>
        <v>92554.688524590165</v>
      </c>
      <c r="AB168" s="311"/>
    </row>
    <row r="169" spans="14:31">
      <c r="N169" s="102" t="s">
        <v>506</v>
      </c>
      <c r="O169" s="102" t="s">
        <v>403</v>
      </c>
      <c r="P169" s="100" t="s">
        <v>195</v>
      </c>
      <c r="Q169" s="100" t="s">
        <v>177</v>
      </c>
      <c r="R169" s="100" t="s">
        <v>204</v>
      </c>
      <c r="S169" s="100" t="s">
        <v>281</v>
      </c>
      <c r="T169" s="324">
        <f t="shared" ca="1" si="40"/>
        <v>1.42</v>
      </c>
      <c r="U169" s="439">
        <f>100+Summary!$R$11</f>
        <v>100.7</v>
      </c>
      <c r="V169" s="81">
        <v>2</v>
      </c>
      <c r="W169" s="335">
        <f t="shared" ca="1" si="41"/>
        <v>1.4079153974989136</v>
      </c>
      <c r="X169" s="158">
        <f t="shared" ca="1" si="42"/>
        <v>3368405.5132413888</v>
      </c>
      <c r="Y169" s="143">
        <f t="shared" ca="1" si="43"/>
        <v>52229.759999999995</v>
      </c>
      <c r="Z169" s="143">
        <f t="shared" ca="1" si="44"/>
        <v>2296778.129180328</v>
      </c>
      <c r="AA169" s="140">
        <f t="shared" si="45"/>
        <v>54406</v>
      </c>
      <c r="AB169" s="311"/>
    </row>
    <row r="170" spans="14:31">
      <c r="N170" s="102" t="s">
        <v>506</v>
      </c>
      <c r="O170" s="102" t="s">
        <v>403</v>
      </c>
      <c r="P170" s="100" t="s">
        <v>195</v>
      </c>
      <c r="Q170" s="100" t="s">
        <v>177</v>
      </c>
      <c r="R170" s="100" t="s">
        <v>195</v>
      </c>
      <c r="S170" s="100" t="s">
        <v>202</v>
      </c>
      <c r="T170" s="324">
        <f t="shared" ca="1" si="40"/>
        <v>9.16</v>
      </c>
      <c r="U170" s="439">
        <f>100+Summary!$R$11</f>
        <v>100.7</v>
      </c>
      <c r="V170" s="81">
        <v>2</v>
      </c>
      <c r="W170" s="335">
        <f t="shared" ca="1" si="41"/>
        <v>9.0937534641606863</v>
      </c>
      <c r="X170" s="158">
        <f t="shared" ca="1" si="42"/>
        <v>7643297.056042756</v>
      </c>
      <c r="Y170" s="143">
        <f t="shared" ca="1" si="43"/>
        <v>1118686.2735454545</v>
      </c>
      <c r="Z170" s="143">
        <f t="shared" ca="1" si="44"/>
        <v>7631737.2735454552</v>
      </c>
      <c r="AA170" s="140">
        <f t="shared" si="45"/>
        <v>123203.33409090909</v>
      </c>
      <c r="AB170" s="311"/>
    </row>
    <row r="171" spans="14:31">
      <c r="N171" s="102" t="s">
        <v>506</v>
      </c>
      <c r="O171" s="102" t="s">
        <v>403</v>
      </c>
      <c r="P171" s="100" t="s">
        <v>195</v>
      </c>
      <c r="Q171" s="100" t="s">
        <v>177</v>
      </c>
      <c r="R171" s="100" t="s">
        <v>195</v>
      </c>
      <c r="S171" s="100" t="s">
        <v>207</v>
      </c>
      <c r="T171" s="324">
        <f t="shared" ca="1" si="40"/>
        <v>6.9629999999999997E-2</v>
      </c>
      <c r="U171" s="439">
        <f>100+Summary!$R$11</f>
        <v>100.7</v>
      </c>
      <c r="V171" s="81">
        <v>5</v>
      </c>
      <c r="W171" s="335">
        <f t="shared" ca="1" si="41"/>
        <v>6.9184855217332253E-2</v>
      </c>
      <c r="X171" s="158">
        <f ca="1">SUMIFS(T$152:T$157,S$152:S$157,"kWh")</f>
        <v>23974366.616105609</v>
      </c>
      <c r="Y171" s="143">
        <f ca="1">SUMIFS(T$114:T$147,Q$114:Q$147,Q171,R$114:R$147,R171,S$114:S$147,"kWh*")</f>
        <v>3171533.0898358803</v>
      </c>
      <c r="Z171" s="143">
        <f ca="1">SUMIFS(T$114:T$147,S$114:S$147,"kWh*")</f>
        <v>23045284.495521922</v>
      </c>
      <c r="AA171" s="140">
        <f>SUMIFS(T$8:T$35,Q$8:Q$35,Q171,R$8:R$35,R171,S$8:S$35,"kWh*")</f>
        <v>51874014.743498094</v>
      </c>
      <c r="AB171" s="311">
        <f ca="1">(T20+T34)/(T19+T20+T33+T34)*(T105-T106)</f>
        <v>5.5808515165408305E-3</v>
      </c>
      <c r="AD171" s="311"/>
    </row>
    <row r="172" spans="14:31">
      <c r="N172" s="102" t="s">
        <v>506</v>
      </c>
      <c r="O172" s="102" t="s">
        <v>403</v>
      </c>
      <c r="P172" s="100" t="s">
        <v>195</v>
      </c>
      <c r="Q172" s="100" t="s">
        <v>177</v>
      </c>
      <c r="R172" s="100" t="s">
        <v>195</v>
      </c>
      <c r="S172" s="100" t="s">
        <v>208</v>
      </c>
      <c r="T172" s="324">
        <f t="shared" ca="1" si="40"/>
        <v>6.0299999999999999E-2</v>
      </c>
      <c r="U172" s="439">
        <f>100+Summary!$R$11</f>
        <v>100.7</v>
      </c>
      <c r="V172" s="81">
        <v>5</v>
      </c>
      <c r="W172" s="335">
        <f t="shared" ca="1" si="41"/>
        <v>5.9854855217332241E-2</v>
      </c>
      <c r="X172" s="158">
        <f ca="1">SUMIFS(T$152:T$157,S$152:S$157,"kWh")</f>
        <v>23974366.616105609</v>
      </c>
      <c r="Y172" s="143">
        <f ca="1">SUMIFS(T$114:T$147,Q$114:Q$147,Q172,R$114:R$147,R172,S$114:S$147,"kWh*")</f>
        <v>3171533.0898358803</v>
      </c>
      <c r="Z172" s="143">
        <f ca="1">SUMIFS(T$114:T$147,S$114:S$147,"kWh*")</f>
        <v>23045284.495521922</v>
      </c>
      <c r="AA172" s="140">
        <f>SUMIFS(T$8:T$35,Q$8:Q$35,Q172,R$8:R$35,R172,S$8:S$35,"kWh*")</f>
        <v>51874014.743498094</v>
      </c>
      <c r="AB172" s="311">
        <f ca="1">(T19+T33)/(T19+T20+T33+T34)*(T106-T105)</f>
        <v>-3.7491484834591758E-3</v>
      </c>
      <c r="AC172" s="311">
        <f ca="1">X172*Y172/Z172/AA172*U172/100</f>
        <v>6.4049231726696951E-2</v>
      </c>
      <c r="AD172" s="311"/>
    </row>
    <row r="173" spans="14:31">
      <c r="N173" s="102" t="s">
        <v>506</v>
      </c>
      <c r="O173" s="102" t="s">
        <v>403</v>
      </c>
      <c r="P173" s="100" t="s">
        <v>195</v>
      </c>
      <c r="Q173" s="100" t="s">
        <v>177</v>
      </c>
      <c r="R173" s="100" t="s">
        <v>195</v>
      </c>
      <c r="S173" s="100" t="s">
        <v>201</v>
      </c>
      <c r="T173" s="324">
        <f t="shared" si="40"/>
        <v>0.56000000000000005</v>
      </c>
      <c r="U173" s="595">
        <f>100+Summary!$R$11</f>
        <v>100.7</v>
      </c>
      <c r="V173" s="536">
        <v>2</v>
      </c>
      <c r="W173" s="537">
        <f t="shared" si="41"/>
        <v>0.56000000000000005</v>
      </c>
      <c r="X173" s="162">
        <f t="shared" si="42"/>
        <v>85500.939999999988</v>
      </c>
      <c r="Y173" s="354">
        <f t="shared" si="43"/>
        <v>5516.64</v>
      </c>
      <c r="Z173" s="354">
        <f t="shared" si="44"/>
        <v>85500.939999999988</v>
      </c>
      <c r="AA173" s="354">
        <f t="shared" si="45"/>
        <v>9851.1428571428569</v>
      </c>
      <c r="AB173" s="404"/>
      <c r="AC173" s="404"/>
      <c r="AD173" s="404"/>
      <c r="AE173" s="404"/>
    </row>
    <row r="174" spans="14:31">
      <c r="N174" s="102" t="s">
        <v>506</v>
      </c>
      <c r="O174" s="102" t="s">
        <v>403</v>
      </c>
      <c r="P174" s="100" t="s">
        <v>195</v>
      </c>
      <c r="Q174" s="102" t="s">
        <v>509</v>
      </c>
      <c r="R174" s="102" t="s">
        <v>195</v>
      </c>
      <c r="S174" s="102" t="s">
        <v>335</v>
      </c>
      <c r="T174" s="324">
        <f t="shared" ca="1" si="40"/>
        <v>4199.93</v>
      </c>
      <c r="U174" s="659">
        <v>100</v>
      </c>
      <c r="V174" s="81">
        <v>2</v>
      </c>
      <c r="W174" s="335">
        <f t="shared" ca="1" si="41"/>
        <v>4199.93</v>
      </c>
      <c r="X174" s="158">
        <f ca="1">'Sch.48T-DF'!O57*AA174</f>
        <v>3348744.1866666665</v>
      </c>
      <c r="Y174" s="140">
        <v>1</v>
      </c>
      <c r="Z174" s="140">
        <v>1</v>
      </c>
      <c r="AA174" s="140">
        <f>SUMIFS(T$8:T$35,S$8:S$35,S174)</f>
        <v>797.33333333333326</v>
      </c>
      <c r="AB174" s="311"/>
      <c r="AC174" s="140"/>
    </row>
    <row r="175" spans="14:31">
      <c r="N175" s="102" t="s">
        <v>506</v>
      </c>
      <c r="O175" s="102" t="s">
        <v>403</v>
      </c>
      <c r="P175" s="100" t="s">
        <v>195</v>
      </c>
      <c r="Q175" s="102" t="s">
        <v>509</v>
      </c>
      <c r="R175" s="102" t="s">
        <v>195</v>
      </c>
      <c r="S175" s="100" t="s">
        <v>281</v>
      </c>
      <c r="T175" s="324">
        <f t="shared" ca="1" si="40"/>
        <v>2.5299999999999998</v>
      </c>
      <c r="U175" s="439">
        <f>100+Summary!$R$11</f>
        <v>100.7</v>
      </c>
      <c r="V175" s="81">
        <v>2</v>
      </c>
      <c r="W175" s="335">
        <f t="shared" ca="1" si="41"/>
        <v>2.5143507501186662</v>
      </c>
      <c r="X175" s="158">
        <f ca="1">X153</f>
        <v>2693200.7576478659</v>
      </c>
      <c r="Y175" s="140">
        <v>1</v>
      </c>
      <c r="Z175" s="140">
        <v>1</v>
      </c>
      <c r="AA175" s="140">
        <f>SUMIFS(T$8:T$35,S$8:S$35,S175)</f>
        <v>1071131.6857923497</v>
      </c>
      <c r="AB175" s="311"/>
      <c r="AC175" s="140"/>
      <c r="AD175" s="558"/>
    </row>
    <row r="176" spans="14:31">
      <c r="N176" s="102" t="s">
        <v>506</v>
      </c>
      <c r="O176" s="102" t="s">
        <v>403</v>
      </c>
      <c r="P176" s="100" t="s">
        <v>195</v>
      </c>
      <c r="Q176" s="102" t="s">
        <v>509</v>
      </c>
      <c r="R176" s="100" t="s">
        <v>195</v>
      </c>
      <c r="S176" s="100" t="s">
        <v>202</v>
      </c>
      <c r="T176" s="324">
        <f t="shared" ca="1" si="40"/>
        <v>7.92</v>
      </c>
      <c r="U176" s="439">
        <f>100+Summary!$R$11</f>
        <v>100.7</v>
      </c>
      <c r="V176" s="81">
        <v>2</v>
      </c>
      <c r="W176" s="335">
        <f t="shared" ca="1" si="41"/>
        <v>7.8603824454290336</v>
      </c>
      <c r="X176" s="158">
        <f ca="1">X154</f>
        <v>6656766.629682512</v>
      </c>
      <c r="Y176" s="140">
        <v>1</v>
      </c>
      <c r="Z176" s="140">
        <v>1</v>
      </c>
      <c r="AA176" s="140">
        <f>SUMIFS(T$8:T$35,S$8:S$35,S176)</f>
        <v>846875.66742424248</v>
      </c>
      <c r="AB176" s="311"/>
      <c r="AC176" s="140"/>
      <c r="AD176" s="558"/>
    </row>
    <row r="177" spans="14:30">
      <c r="N177" s="102" t="s">
        <v>506</v>
      </c>
      <c r="O177" s="102" t="s">
        <v>403</v>
      </c>
      <c r="P177" s="100" t="s">
        <v>195</v>
      </c>
      <c r="Q177" s="102" t="s">
        <v>509</v>
      </c>
      <c r="R177" s="100" t="s">
        <v>195</v>
      </c>
      <c r="S177" s="100" t="s">
        <v>207</v>
      </c>
      <c r="T177" s="324">
        <f t="shared" ca="1" si="40"/>
        <v>6.2080000000000003E-2</v>
      </c>
      <c r="U177" s="439">
        <f>100+Summary!$R$11</f>
        <v>100.7</v>
      </c>
      <c r="V177" s="81">
        <v>5</v>
      </c>
      <c r="W177" s="335">
        <f t="shared" ca="1" si="41"/>
        <v>6.1685665344923431E-2</v>
      </c>
      <c r="X177" s="158">
        <f ca="1">X155</f>
        <v>20959015.151292596</v>
      </c>
      <c r="Y177" s="140">
        <v>1</v>
      </c>
      <c r="Z177" s="140">
        <v>1</v>
      </c>
      <c r="AA177" s="140">
        <f>SUMIFS(T$8:T$35,S$8:S$35,"kWh*")</f>
        <v>374086296.54652482</v>
      </c>
      <c r="AB177" s="311">
        <f>(T$12+T$20+T$28+T$34)/(T$11+T$12+T$19+T$20+T$27+T$28+T$33+T$34)*(T$41-T$42)</f>
        <v>5.6584455702853118E-3</v>
      </c>
      <c r="AC177" s="140"/>
      <c r="AD177" s="558"/>
    </row>
    <row r="178" spans="14:30">
      <c r="N178" s="102" t="s">
        <v>506</v>
      </c>
      <c r="O178" s="102" t="s">
        <v>403</v>
      </c>
      <c r="P178" s="100" t="s">
        <v>195</v>
      </c>
      <c r="Q178" s="102" t="s">
        <v>509</v>
      </c>
      <c r="R178" s="100" t="s">
        <v>195</v>
      </c>
      <c r="S178" s="100" t="s">
        <v>208</v>
      </c>
      <c r="T178" s="324">
        <f t="shared" ca="1" si="40"/>
        <v>5.2749999999999998E-2</v>
      </c>
      <c r="U178" s="439">
        <f>100+Summary!$R$11</f>
        <v>100.7</v>
      </c>
      <c r="V178" s="81">
        <v>5</v>
      </c>
      <c r="W178" s="335">
        <f t="shared" ca="1" si="41"/>
        <v>5.2355665344923433E-2</v>
      </c>
      <c r="X178" s="158">
        <f ca="1">X155</f>
        <v>20959015.151292596</v>
      </c>
      <c r="Y178" s="140">
        <v>1</v>
      </c>
      <c r="Z178" s="140">
        <v>1</v>
      </c>
      <c r="AA178" s="140">
        <f>SUMIFS(T$8:T$35,S$8:S$35,"kWh*")</f>
        <v>374086296.54652482</v>
      </c>
      <c r="AB178" s="311">
        <f>(T$11+T$19+T$27+T$33)/(T$11+T$12+T$19+T$20+T$27+T$28+T$33+T$34)*(T$42-T$41)</f>
        <v>-3.6715544297146858E-3</v>
      </c>
      <c r="AC178" s="311">
        <f ca="1">ROUND(X178/AA178,5)</f>
        <v>5.6030000000000003E-2</v>
      </c>
    </row>
    <row r="179" spans="14:30">
      <c r="N179" s="150" t="s">
        <v>506</v>
      </c>
      <c r="O179" s="150" t="s">
        <v>403</v>
      </c>
      <c r="P179" s="152" t="s">
        <v>195</v>
      </c>
      <c r="Q179" s="150" t="s">
        <v>509</v>
      </c>
      <c r="R179" s="152" t="s">
        <v>195</v>
      </c>
      <c r="S179" s="152" t="s">
        <v>201</v>
      </c>
      <c r="T179" s="325">
        <f t="shared" si="40"/>
        <v>0.56999999999999995</v>
      </c>
      <c r="U179" s="439">
        <f>100+Summary!$R$11</f>
        <v>100.7</v>
      </c>
      <c r="V179" s="81">
        <v>2</v>
      </c>
      <c r="W179" s="335">
        <f t="shared" si="41"/>
        <v>0.56934402016194485</v>
      </c>
      <c r="X179" s="158">
        <f>X156</f>
        <v>85500.939999999988</v>
      </c>
      <c r="Y179" s="140">
        <v>1</v>
      </c>
      <c r="Z179" s="140">
        <v>1</v>
      </c>
      <c r="AA179" s="140">
        <f>SUMIFS(T$8:T$35,S$8:S$35,S179)</f>
        <v>150174.47619047618</v>
      </c>
      <c r="AB179" s="311"/>
      <c r="AC179" s="140"/>
    </row>
    <row r="180" spans="14:30">
      <c r="N180" s="145" t="s">
        <v>506</v>
      </c>
      <c r="O180" s="145" t="s">
        <v>29</v>
      </c>
      <c r="P180" s="144" t="s">
        <v>5</v>
      </c>
      <c r="Q180" s="144" t="s">
        <v>176</v>
      </c>
      <c r="R180" s="144" t="s">
        <v>203</v>
      </c>
      <c r="S180" s="145" t="s">
        <v>335</v>
      </c>
      <c r="T180" s="220">
        <f t="shared" ref="T180:T213" ca="1" si="46">IF(S180="Unbilled",SUMIFS(T$114:T$147,P$114:P$147,P180,S$114:S$147,S180),SUMIFS(T$158:T$173,Q$158:Q$173,Q180,R$158:R$173,R180,S$158:S$173,S180)*V180)</f>
        <v>457290.99999999994</v>
      </c>
      <c r="U180" s="81">
        <f t="shared" ref="U180:U213" ca="1" si="47">IF(S180="Unbilled",SUMIFS(T$114:T$147,P$114:P$147,P180,S$114:S$147,S180),SUMIFS(W$158:W$173,Q$158:Q$173,Q180,R$158:R$173,R180,S$158:S$173,S180)*V180)</f>
        <v>454112.64677523344</v>
      </c>
      <c r="V180" s="140">
        <f t="shared" ref="V180:V213" si="48">SUMIFS(T$8:T$35,P$8:P$35,P180,Q$8:Q$35,Q180,R$8:R$35,R180,S$8:S$35,S180)</f>
        <v>353.66666666666663</v>
      </c>
      <c r="W180" s="81">
        <f t="shared" ref="W180:W213" ca="1" si="49">IF(S180="Unbilled",SUMIFS(T$114:T$147,P$114:P$147,P180,S$114:S$147,S180),SUMIFS(W$174:W$179,S$174:S$179,S180)*V180)</f>
        <v>1485375.2433333332</v>
      </c>
      <c r="Y180" s="140"/>
      <c r="Z180" s="140"/>
    </row>
    <row r="181" spans="14:30">
      <c r="N181" s="102" t="s">
        <v>506</v>
      </c>
      <c r="O181" s="102" t="s">
        <v>29</v>
      </c>
      <c r="P181" s="100" t="s">
        <v>5</v>
      </c>
      <c r="Q181" s="100" t="s">
        <v>176</v>
      </c>
      <c r="R181" s="100" t="s">
        <v>204</v>
      </c>
      <c r="S181" s="102" t="s">
        <v>335</v>
      </c>
      <c r="T181" s="217">
        <f t="shared" ca="1" si="46"/>
        <v>0</v>
      </c>
      <c r="U181" s="81">
        <f t="shared" ca="1" si="47"/>
        <v>0</v>
      </c>
      <c r="V181" s="140">
        <f t="shared" si="48"/>
        <v>0</v>
      </c>
      <c r="W181" s="81">
        <f t="shared" ca="1" si="49"/>
        <v>0</v>
      </c>
      <c r="Y181" s="140"/>
      <c r="Z181" s="140"/>
    </row>
    <row r="182" spans="14:30">
      <c r="N182" s="102" t="s">
        <v>506</v>
      </c>
      <c r="O182" s="102" t="s">
        <v>29</v>
      </c>
      <c r="P182" s="100" t="s">
        <v>5</v>
      </c>
      <c r="Q182" s="100" t="s">
        <v>176</v>
      </c>
      <c r="R182" s="100" t="s">
        <v>203</v>
      </c>
      <c r="S182" s="100" t="s">
        <v>281</v>
      </c>
      <c r="T182" s="217">
        <f t="shared" ca="1" si="46"/>
        <v>1432353.4905464482</v>
      </c>
      <c r="U182" s="81">
        <f t="shared" ca="1" si="47"/>
        <v>1420676.8212800706</v>
      </c>
      <c r="V182" s="140">
        <f t="shared" si="48"/>
        <v>413974.99726775958</v>
      </c>
      <c r="W182" s="81">
        <f t="shared" ca="1" si="49"/>
        <v>1040878.344910564</v>
      </c>
      <c r="Y182" s="140"/>
      <c r="Z182" s="140"/>
    </row>
    <row r="183" spans="14:30">
      <c r="N183" s="102" t="s">
        <v>506</v>
      </c>
      <c r="O183" s="102" t="s">
        <v>29</v>
      </c>
      <c r="P183" s="100" t="s">
        <v>5</v>
      </c>
      <c r="Q183" s="100" t="s">
        <v>176</v>
      </c>
      <c r="R183" s="100" t="s">
        <v>204</v>
      </c>
      <c r="S183" s="100" t="s">
        <v>281</v>
      </c>
      <c r="T183" s="217">
        <f t="shared" ca="1" si="46"/>
        <v>0</v>
      </c>
      <c r="U183" s="81">
        <f t="shared" ca="1" si="47"/>
        <v>0</v>
      </c>
      <c r="V183" s="140">
        <f t="shared" si="48"/>
        <v>0</v>
      </c>
      <c r="W183" s="81">
        <f t="shared" ca="1" si="49"/>
        <v>0</v>
      </c>
      <c r="Y183" s="311"/>
      <c r="Z183" s="140"/>
    </row>
    <row r="184" spans="14:30">
      <c r="N184" s="102" t="s">
        <v>506</v>
      </c>
      <c r="O184" s="102" t="s">
        <v>29</v>
      </c>
      <c r="P184" s="100" t="s">
        <v>5</v>
      </c>
      <c r="Q184" s="100" t="s">
        <v>176</v>
      </c>
      <c r="R184" s="100" t="s">
        <v>195</v>
      </c>
      <c r="S184" s="100" t="s">
        <v>202</v>
      </c>
      <c r="T184" s="217">
        <f t="shared" ca="1" si="46"/>
        <v>2650264.3466666671</v>
      </c>
      <c r="U184" s="81">
        <f t="shared" ca="1" si="47"/>
        <v>2630892.9832105953</v>
      </c>
      <c r="V184" s="140">
        <f t="shared" si="48"/>
        <v>291879.33333333337</v>
      </c>
      <c r="W184" s="81">
        <f t="shared" ca="1" si="49"/>
        <v>2294283.1879168632</v>
      </c>
      <c r="Y184" s="311"/>
      <c r="Z184" s="140"/>
    </row>
    <row r="185" spans="14:30">
      <c r="N185" s="102" t="s">
        <v>506</v>
      </c>
      <c r="O185" s="102" t="s">
        <v>29</v>
      </c>
      <c r="P185" s="100" t="s">
        <v>5</v>
      </c>
      <c r="Q185" s="100" t="s">
        <v>176</v>
      </c>
      <c r="R185" s="100" t="s">
        <v>195</v>
      </c>
      <c r="S185" s="100" t="s">
        <v>207</v>
      </c>
      <c r="T185" s="217">
        <f t="shared" ca="1" si="46"/>
        <v>3454988.9592079837</v>
      </c>
      <c r="U185" s="81">
        <f t="shared" ca="1" si="47"/>
        <v>3432703.9172776425</v>
      </c>
      <c r="V185" s="140">
        <f t="shared" si="48"/>
        <v>49153349.825124249</v>
      </c>
      <c r="W185" s="81">
        <f t="shared" ca="1" si="49"/>
        <v>3032057.087894565</v>
      </c>
      <c r="Y185" s="311"/>
      <c r="Z185" s="140"/>
    </row>
    <row r="186" spans="14:30">
      <c r="N186" s="102" t="s">
        <v>506</v>
      </c>
      <c r="O186" s="102" t="s">
        <v>29</v>
      </c>
      <c r="P186" s="100" t="s">
        <v>5</v>
      </c>
      <c r="Q186" s="100" t="s">
        <v>176</v>
      </c>
      <c r="R186" s="100" t="s">
        <v>195</v>
      </c>
      <c r="S186" s="100" t="s">
        <v>208</v>
      </c>
      <c r="T186" s="217">
        <f t="shared" ca="1" si="46"/>
        <v>4527476.5721919667</v>
      </c>
      <c r="U186" s="81">
        <f t="shared" ca="1" si="47"/>
        <v>4493804.3647422977</v>
      </c>
      <c r="V186" s="140">
        <f t="shared" si="48"/>
        <v>74269628.808923334</v>
      </c>
      <c r="W186" s="81">
        <f t="shared" ca="1" si="49"/>
        <v>3888435.8312116745</v>
      </c>
      <c r="Y186" s="311"/>
      <c r="Z186" s="140"/>
    </row>
    <row r="187" spans="14:30">
      <c r="N187" s="102" t="s">
        <v>506</v>
      </c>
      <c r="O187" s="102" t="s">
        <v>29</v>
      </c>
      <c r="P187" s="100" t="s">
        <v>5</v>
      </c>
      <c r="Q187" s="100" t="s">
        <v>176</v>
      </c>
      <c r="R187" s="100" t="s">
        <v>195</v>
      </c>
      <c r="S187" s="100" t="s">
        <v>201</v>
      </c>
      <c r="T187" s="217">
        <f t="shared" si="46"/>
        <v>17939.23</v>
      </c>
      <c r="U187" s="81">
        <f t="shared" si="47"/>
        <v>17939.229999999996</v>
      </c>
      <c r="V187" s="140">
        <f t="shared" si="48"/>
        <v>31472.333333333332</v>
      </c>
      <c r="W187" s="81">
        <f t="shared" si="49"/>
        <v>17918.58478387678</v>
      </c>
      <c r="Y187" s="311"/>
      <c r="Z187" s="140"/>
    </row>
    <row r="188" spans="14:30">
      <c r="N188" s="102" t="s">
        <v>506</v>
      </c>
      <c r="O188" s="102" t="s">
        <v>29</v>
      </c>
      <c r="P188" s="100" t="s">
        <v>5</v>
      </c>
      <c r="Q188" s="100" t="s">
        <v>177</v>
      </c>
      <c r="R188" s="100" t="s">
        <v>203</v>
      </c>
      <c r="S188" s="102" t="s">
        <v>335</v>
      </c>
      <c r="T188" s="217">
        <f t="shared" ca="1" si="46"/>
        <v>110735.34333333334</v>
      </c>
      <c r="U188" s="81">
        <f t="shared" ca="1" si="47"/>
        <v>109965.18391896927</v>
      </c>
      <c r="V188" s="140">
        <f t="shared" si="48"/>
        <v>83.666666666666671</v>
      </c>
      <c r="W188" s="81">
        <f t="shared" ca="1" si="49"/>
        <v>351394.14333333337</v>
      </c>
      <c r="Y188" s="311"/>
      <c r="Z188" s="140"/>
    </row>
    <row r="189" spans="14:30">
      <c r="N189" s="102" t="s">
        <v>506</v>
      </c>
      <c r="O189" s="102" t="s">
        <v>29</v>
      </c>
      <c r="P189" s="100" t="s">
        <v>5</v>
      </c>
      <c r="Q189" s="100" t="s">
        <v>177</v>
      </c>
      <c r="R189" s="100" t="s">
        <v>204</v>
      </c>
      <c r="S189" s="102" t="s">
        <v>335</v>
      </c>
      <c r="T189" s="217">
        <f t="shared" ca="1" si="46"/>
        <v>19120.32</v>
      </c>
      <c r="U189" s="81">
        <f t="shared" ca="1" si="47"/>
        <v>18987.36194509342</v>
      </c>
      <c r="V189" s="140">
        <f t="shared" si="48"/>
        <v>12</v>
      </c>
      <c r="W189" s="81">
        <f t="shared" ca="1" si="49"/>
        <v>50399.16</v>
      </c>
      <c r="Y189" s="140"/>
      <c r="Z189" s="140"/>
    </row>
    <row r="190" spans="14:30">
      <c r="N190" s="102" t="s">
        <v>506</v>
      </c>
      <c r="O190" s="102" t="s">
        <v>29</v>
      </c>
      <c r="P190" s="100" t="s">
        <v>5</v>
      </c>
      <c r="Q190" s="100" t="s">
        <v>177</v>
      </c>
      <c r="R190" s="100" t="s">
        <v>203</v>
      </c>
      <c r="S190" s="100" t="s">
        <v>281</v>
      </c>
      <c r="T190" s="217">
        <f t="shared" ca="1" si="46"/>
        <v>158251.21114754098</v>
      </c>
      <c r="U190" s="81">
        <f t="shared" ca="1" si="47"/>
        <v>156961.13361726</v>
      </c>
      <c r="V190" s="140">
        <f t="shared" si="48"/>
        <v>91474.688524590165</v>
      </c>
      <c r="W190" s="81">
        <f t="shared" ca="1" si="49"/>
        <v>229999.45170867463</v>
      </c>
      <c r="Y190" s="140"/>
      <c r="Z190" s="140"/>
    </row>
    <row r="191" spans="14:30">
      <c r="N191" s="102" t="s">
        <v>506</v>
      </c>
      <c r="O191" s="102" t="s">
        <v>29</v>
      </c>
      <c r="P191" s="100" t="s">
        <v>5</v>
      </c>
      <c r="Q191" s="100" t="s">
        <v>177</v>
      </c>
      <c r="R191" s="100" t="s">
        <v>204</v>
      </c>
      <c r="S191" s="100" t="s">
        <v>281</v>
      </c>
      <c r="T191" s="217">
        <f t="shared" ca="1" si="46"/>
        <v>77256.51999999999</v>
      </c>
      <c r="U191" s="81">
        <f t="shared" ca="1" si="47"/>
        <v>76599.045116325899</v>
      </c>
      <c r="V191" s="140">
        <f t="shared" si="48"/>
        <v>54406</v>
      </c>
      <c r="W191" s="81">
        <f t="shared" ca="1" si="49"/>
        <v>136795.76691095615</v>
      </c>
      <c r="Y191" s="140"/>
      <c r="Z191" s="140"/>
    </row>
    <row r="192" spans="14:30">
      <c r="N192" s="102" t="s">
        <v>506</v>
      </c>
      <c r="O192" s="102" t="s">
        <v>29</v>
      </c>
      <c r="P192" s="100" t="s">
        <v>5</v>
      </c>
      <c r="Q192" s="100" t="s">
        <v>177</v>
      </c>
      <c r="R192" s="100" t="s">
        <v>195</v>
      </c>
      <c r="S192" s="100" t="s">
        <v>202</v>
      </c>
      <c r="T192" s="217">
        <f t="shared" ca="1" si="46"/>
        <v>1073582.5402727274</v>
      </c>
      <c r="U192" s="81">
        <f t="shared" ca="1" si="47"/>
        <v>1065818.2254003868</v>
      </c>
      <c r="V192" s="140">
        <f t="shared" si="48"/>
        <v>117203.33409090909</v>
      </c>
      <c r="W192" s="81">
        <f t="shared" ca="1" si="49"/>
        <v>921263.02983393602</v>
      </c>
      <c r="Y192" s="140"/>
      <c r="Z192" s="140"/>
    </row>
    <row r="193" spans="14:26">
      <c r="N193" s="102" t="s">
        <v>506</v>
      </c>
      <c r="O193" s="102" t="s">
        <v>29</v>
      </c>
      <c r="P193" s="100" t="s">
        <v>5</v>
      </c>
      <c r="Q193" s="100" t="s">
        <v>177</v>
      </c>
      <c r="R193" s="100" t="s">
        <v>195</v>
      </c>
      <c r="S193" s="100" t="s">
        <v>207</v>
      </c>
      <c r="T193" s="217">
        <f t="shared" ca="1" si="46"/>
        <v>1439777.7997475681</v>
      </c>
      <c r="U193" s="81">
        <f t="shared" ca="1" si="47"/>
        <v>1430573.296289885</v>
      </c>
      <c r="V193" s="140">
        <f t="shared" si="48"/>
        <v>20677549.9030241</v>
      </c>
      <c r="W193" s="81">
        <f t="shared" ca="1" si="49"/>
        <v>1275508.4234708985</v>
      </c>
      <c r="Y193" s="140"/>
      <c r="Z193" s="140"/>
    </row>
    <row r="194" spans="14:26">
      <c r="N194" s="102" t="s">
        <v>506</v>
      </c>
      <c r="O194" s="102" t="s">
        <v>29</v>
      </c>
      <c r="P194" s="100" t="s">
        <v>5</v>
      </c>
      <c r="Q194" s="100" t="s">
        <v>177</v>
      </c>
      <c r="R194" s="100" t="s">
        <v>195</v>
      </c>
      <c r="S194" s="100" t="s">
        <v>208</v>
      </c>
      <c r="T194" s="217">
        <f t="shared" ca="1" si="46"/>
        <v>1854988.7019060752</v>
      </c>
      <c r="U194" s="81">
        <f t="shared" ca="1" si="47"/>
        <v>1841294.862062607</v>
      </c>
      <c r="V194" s="140">
        <f t="shared" si="48"/>
        <v>30762665.039901745</v>
      </c>
      <c r="W194" s="81">
        <f t="shared" ca="1" si="49"/>
        <v>1610599.7959470714</v>
      </c>
      <c r="Y194" s="140"/>
      <c r="Z194" s="140"/>
    </row>
    <row r="195" spans="14:26">
      <c r="N195" s="102" t="s">
        <v>506</v>
      </c>
      <c r="O195" s="102" t="s">
        <v>29</v>
      </c>
      <c r="P195" s="100" t="s">
        <v>5</v>
      </c>
      <c r="Q195" s="100" t="s">
        <v>177</v>
      </c>
      <c r="R195" s="100" t="s">
        <v>195</v>
      </c>
      <c r="S195" s="100" t="s">
        <v>201</v>
      </c>
      <c r="T195" s="217">
        <f t="shared" si="46"/>
        <v>5180.08</v>
      </c>
      <c r="U195" s="81">
        <f t="shared" si="47"/>
        <v>5180.08</v>
      </c>
      <c r="V195" s="140">
        <f t="shared" si="48"/>
        <v>9250.1428571428569</v>
      </c>
      <c r="W195" s="81">
        <f t="shared" si="49"/>
        <v>5266.5135213580124</v>
      </c>
      <c r="Y195" s="140"/>
      <c r="Z195" s="140"/>
    </row>
    <row r="196" spans="14:26">
      <c r="N196" s="150" t="s">
        <v>506</v>
      </c>
      <c r="O196" s="150" t="s">
        <v>29</v>
      </c>
      <c r="P196" s="152" t="s">
        <v>5</v>
      </c>
      <c r="Q196" s="152" t="s">
        <v>195</v>
      </c>
      <c r="R196" s="152" t="s">
        <v>195</v>
      </c>
      <c r="S196" s="216" t="s">
        <v>168</v>
      </c>
      <c r="T196" s="218">
        <f t="shared" si="46"/>
        <v>211823.16276683079</v>
      </c>
      <c r="U196" s="81">
        <f t="shared" si="47"/>
        <v>211823.16276683079</v>
      </c>
      <c r="V196" s="140">
        <f t="shared" si="48"/>
        <v>0</v>
      </c>
      <c r="W196" s="81">
        <f t="shared" si="49"/>
        <v>211823.16276683079</v>
      </c>
      <c r="Y196" s="140"/>
      <c r="Z196" s="140"/>
    </row>
    <row r="197" spans="14:26">
      <c r="N197" s="145" t="s">
        <v>506</v>
      </c>
      <c r="O197" s="145" t="s">
        <v>29</v>
      </c>
      <c r="P197" s="146" t="s">
        <v>7</v>
      </c>
      <c r="Q197" s="144" t="s">
        <v>176</v>
      </c>
      <c r="R197" s="144" t="s">
        <v>203</v>
      </c>
      <c r="S197" s="145" t="s">
        <v>335</v>
      </c>
      <c r="T197" s="220">
        <f t="shared" ca="1" si="46"/>
        <v>399537</v>
      </c>
      <c r="U197" s="81">
        <f t="shared" ca="1" si="47"/>
        <v>396760.05990635388</v>
      </c>
      <c r="V197" s="140">
        <f t="shared" si="48"/>
        <v>309</v>
      </c>
      <c r="W197" s="81">
        <f t="shared" ca="1" si="49"/>
        <v>1297778.3700000001</v>
      </c>
      <c r="Y197" s="140"/>
      <c r="Z197" s="140"/>
    </row>
    <row r="198" spans="14:26">
      <c r="N198" s="102" t="s">
        <v>506</v>
      </c>
      <c r="O198" s="102" t="s">
        <v>29</v>
      </c>
      <c r="P198" s="148" t="s">
        <v>7</v>
      </c>
      <c r="Q198" s="100" t="s">
        <v>176</v>
      </c>
      <c r="R198" s="100" t="s">
        <v>204</v>
      </c>
      <c r="S198" s="102" t="s">
        <v>335</v>
      </c>
      <c r="T198" s="217">
        <f t="shared" ca="1" si="46"/>
        <v>42196.14</v>
      </c>
      <c r="U198" s="81">
        <f t="shared" ca="1" si="47"/>
        <v>41902.88363810294</v>
      </c>
      <c r="V198" s="140">
        <f t="shared" si="48"/>
        <v>27</v>
      </c>
      <c r="W198" s="81">
        <f t="shared" ca="1" si="49"/>
        <v>113398.11000000002</v>
      </c>
      <c r="Y198" s="140"/>
      <c r="Z198" s="140"/>
    </row>
    <row r="199" spans="14:26">
      <c r="N199" s="102" t="s">
        <v>506</v>
      </c>
      <c r="O199" s="102" t="s">
        <v>29</v>
      </c>
      <c r="P199" s="148" t="s">
        <v>7</v>
      </c>
      <c r="Q199" s="100" t="s">
        <v>176</v>
      </c>
      <c r="R199" s="100" t="s">
        <v>203</v>
      </c>
      <c r="S199" s="100" t="s">
        <v>281</v>
      </c>
      <c r="T199" s="217">
        <f t="shared" ca="1" si="46"/>
        <v>1401275.78</v>
      </c>
      <c r="U199" s="81">
        <f t="shared" ca="1" si="47"/>
        <v>1389852.4589119891</v>
      </c>
      <c r="V199" s="140">
        <f t="shared" si="48"/>
        <v>404993</v>
      </c>
      <c r="W199" s="81">
        <f t="shared" ca="1" si="49"/>
        <v>1018294.453342809</v>
      </c>
      <c r="Y199" s="140"/>
      <c r="Z199" s="140"/>
    </row>
    <row r="200" spans="14:26">
      <c r="N200" s="102" t="s">
        <v>506</v>
      </c>
      <c r="O200" s="102" t="s">
        <v>29</v>
      </c>
      <c r="P200" s="148" t="s">
        <v>7</v>
      </c>
      <c r="Q200" s="100" t="s">
        <v>176</v>
      </c>
      <c r="R200" s="100" t="s">
        <v>204</v>
      </c>
      <c r="S200" s="100" t="s">
        <v>281</v>
      </c>
      <c r="T200" s="217">
        <f t="shared" ca="1" si="46"/>
        <v>325077.26999999996</v>
      </c>
      <c r="U200" s="81">
        <f t="shared" ca="1" si="47"/>
        <v>322462.88567378488</v>
      </c>
      <c r="V200" s="140">
        <f t="shared" si="48"/>
        <v>105203</v>
      </c>
      <c r="W200" s="81">
        <f t="shared" ca="1" si="49"/>
        <v>264517.24196473404</v>
      </c>
      <c r="Y200" s="140"/>
      <c r="Z200" s="140"/>
    </row>
    <row r="201" spans="14:26">
      <c r="N201" s="102" t="s">
        <v>506</v>
      </c>
      <c r="O201" s="102" t="s">
        <v>29</v>
      </c>
      <c r="P201" s="148" t="s">
        <v>7</v>
      </c>
      <c r="Q201" s="100" t="s">
        <v>176</v>
      </c>
      <c r="R201" s="100" t="s">
        <v>195</v>
      </c>
      <c r="S201" s="100" t="s">
        <v>202</v>
      </c>
      <c r="T201" s="217">
        <f t="shared" ca="1" si="46"/>
        <v>3920680.44</v>
      </c>
      <c r="U201" s="81">
        <f t="shared" ca="1" si="47"/>
        <v>3892023.3266468081</v>
      </c>
      <c r="V201" s="140">
        <f t="shared" si="48"/>
        <v>431793</v>
      </c>
      <c r="W201" s="81">
        <f t="shared" ca="1" si="49"/>
        <v>3394058.1172591387</v>
      </c>
      <c r="Y201" s="140"/>
      <c r="Z201" s="140"/>
    </row>
    <row r="202" spans="14:26">
      <c r="N202" s="102" t="s">
        <v>506</v>
      </c>
      <c r="O202" s="102" t="s">
        <v>29</v>
      </c>
      <c r="P202" s="148" t="s">
        <v>7</v>
      </c>
      <c r="Q202" s="100" t="s">
        <v>176</v>
      </c>
      <c r="R202" s="100" t="s">
        <v>195</v>
      </c>
      <c r="S202" s="100" t="s">
        <v>207</v>
      </c>
      <c r="T202" s="217">
        <f t="shared" ca="1" si="46"/>
        <v>5427277.448047935</v>
      </c>
      <c r="U202" s="81">
        <f t="shared" ca="1" si="47"/>
        <v>5392270.9380632918</v>
      </c>
      <c r="V202" s="140">
        <f t="shared" si="48"/>
        <v>77212653.977065504</v>
      </c>
      <c r="W202" s="81">
        <f t="shared" ca="1" si="49"/>
        <v>4762913.933622634</v>
      </c>
      <c r="Y202" s="140"/>
      <c r="Z202" s="140"/>
    </row>
    <row r="203" spans="14:26">
      <c r="N203" s="102" t="s">
        <v>506</v>
      </c>
      <c r="O203" s="102" t="s">
        <v>29</v>
      </c>
      <c r="P203" s="148" t="s">
        <v>7</v>
      </c>
      <c r="Q203" s="100" t="s">
        <v>176</v>
      </c>
      <c r="R203" s="100" t="s">
        <v>195</v>
      </c>
      <c r="S203" s="100" t="s">
        <v>208</v>
      </c>
      <c r="T203" s="217">
        <f t="shared" ca="1" si="46"/>
        <v>7411312.5347390547</v>
      </c>
      <c r="U203" s="81">
        <f t="shared" ca="1" si="47"/>
        <v>7356192.3703020168</v>
      </c>
      <c r="V203" s="140">
        <f t="shared" si="48"/>
        <v>121576649.19191363</v>
      </c>
      <c r="W203" s="81">
        <f t="shared" ca="1" si="49"/>
        <v>6365226.3588489862</v>
      </c>
      <c r="Y203" s="140"/>
      <c r="Z203" s="140"/>
    </row>
    <row r="204" spans="14:26">
      <c r="N204" s="102" t="s">
        <v>506</v>
      </c>
      <c r="O204" s="102" t="s">
        <v>29</v>
      </c>
      <c r="P204" s="148" t="s">
        <v>7</v>
      </c>
      <c r="Q204" s="100" t="s">
        <v>176</v>
      </c>
      <c r="R204" s="100" t="s">
        <v>195</v>
      </c>
      <c r="S204" s="100" t="s">
        <v>201</v>
      </c>
      <c r="T204" s="217">
        <f t="shared" si="46"/>
        <v>62045.069999999992</v>
      </c>
      <c r="U204" s="81">
        <f t="shared" si="47"/>
        <v>62045.069999999985</v>
      </c>
      <c r="V204" s="140">
        <f t="shared" si="48"/>
        <v>108851</v>
      </c>
      <c r="W204" s="81">
        <f t="shared" si="49"/>
        <v>61973.665938647857</v>
      </c>
      <c r="Y204" s="140"/>
      <c r="Z204" s="140"/>
    </row>
    <row r="205" spans="14:26">
      <c r="N205" s="102" t="s">
        <v>506</v>
      </c>
      <c r="O205" s="102" t="s">
        <v>29</v>
      </c>
      <c r="P205" s="148" t="s">
        <v>7</v>
      </c>
      <c r="Q205" s="100" t="s">
        <v>177</v>
      </c>
      <c r="R205" s="100" t="s">
        <v>203</v>
      </c>
      <c r="S205" s="102" t="s">
        <v>335</v>
      </c>
      <c r="T205" s="217">
        <f t="shared" ca="1" si="46"/>
        <v>15882.36</v>
      </c>
      <c r="U205" s="81">
        <f t="shared" ca="1" si="47"/>
        <v>15771.898888776468</v>
      </c>
      <c r="V205" s="140">
        <f t="shared" si="48"/>
        <v>12</v>
      </c>
      <c r="W205" s="81">
        <f t="shared" ca="1" si="49"/>
        <v>50399.16</v>
      </c>
      <c r="Y205" s="140"/>
      <c r="Z205" s="140"/>
    </row>
    <row r="206" spans="14:26">
      <c r="N206" s="102" t="s">
        <v>506</v>
      </c>
      <c r="O206" s="102" t="s">
        <v>29</v>
      </c>
      <c r="P206" s="148" t="s">
        <v>7</v>
      </c>
      <c r="Q206" s="100" t="s">
        <v>177</v>
      </c>
      <c r="R206" s="100" t="s">
        <v>204</v>
      </c>
      <c r="S206" s="102" t="s">
        <v>335</v>
      </c>
      <c r="T206" s="217">
        <f t="shared" ca="1" si="46"/>
        <v>0</v>
      </c>
      <c r="U206" s="81">
        <f t="shared" ca="1" si="47"/>
        <v>0</v>
      </c>
      <c r="V206" s="140">
        <f t="shared" si="48"/>
        <v>0</v>
      </c>
      <c r="W206" s="81">
        <f t="shared" ca="1" si="49"/>
        <v>0</v>
      </c>
      <c r="Y206" s="140"/>
      <c r="Z206" s="140"/>
    </row>
    <row r="207" spans="14:26">
      <c r="N207" s="102" t="s">
        <v>506</v>
      </c>
      <c r="O207" s="102" t="s">
        <v>29</v>
      </c>
      <c r="P207" s="148" t="s">
        <v>7</v>
      </c>
      <c r="Q207" s="100" t="s">
        <v>177</v>
      </c>
      <c r="R207" s="100" t="s">
        <v>203</v>
      </c>
      <c r="S207" s="100" t="s">
        <v>281</v>
      </c>
      <c r="T207" s="217">
        <f t="shared" ca="1" si="46"/>
        <v>1868.4</v>
      </c>
      <c r="U207" s="81">
        <f t="shared" ca="1" si="47"/>
        <v>1853.1686419579453</v>
      </c>
      <c r="V207" s="140">
        <f t="shared" si="48"/>
        <v>1080</v>
      </c>
      <c r="W207" s="81">
        <f t="shared" ca="1" si="49"/>
        <v>2715.4988101281597</v>
      </c>
      <c r="Y207" s="140"/>
      <c r="Z207" s="140"/>
    </row>
    <row r="208" spans="14:26">
      <c r="N208" s="102" t="s">
        <v>506</v>
      </c>
      <c r="O208" s="102" t="s">
        <v>29</v>
      </c>
      <c r="P208" s="148" t="s">
        <v>7</v>
      </c>
      <c r="Q208" s="100" t="s">
        <v>177</v>
      </c>
      <c r="R208" s="100" t="s">
        <v>204</v>
      </c>
      <c r="S208" s="100" t="s">
        <v>281</v>
      </c>
      <c r="T208" s="217">
        <f t="shared" ca="1" si="46"/>
        <v>0</v>
      </c>
      <c r="U208" s="81">
        <f t="shared" ca="1" si="47"/>
        <v>0</v>
      </c>
      <c r="V208" s="140">
        <f t="shared" si="48"/>
        <v>0</v>
      </c>
      <c r="W208" s="81">
        <f t="shared" ca="1" si="49"/>
        <v>0</v>
      </c>
      <c r="Y208" s="140"/>
      <c r="Z208" s="140"/>
    </row>
    <row r="209" spans="14:26">
      <c r="N209" s="102" t="s">
        <v>506</v>
      </c>
      <c r="O209" s="102" t="s">
        <v>29</v>
      </c>
      <c r="P209" s="148" t="s">
        <v>7</v>
      </c>
      <c r="Q209" s="100" t="s">
        <v>177</v>
      </c>
      <c r="R209" s="100" t="s">
        <v>195</v>
      </c>
      <c r="S209" s="100" t="s">
        <v>202</v>
      </c>
      <c r="T209" s="217">
        <f t="shared" ca="1" si="46"/>
        <v>54959.999999999993</v>
      </c>
      <c r="U209" s="81">
        <f t="shared" ca="1" si="47"/>
        <v>54562.520784964108</v>
      </c>
      <c r="V209" s="140">
        <f t="shared" si="48"/>
        <v>5999.9999999999991</v>
      </c>
      <c r="W209" s="81">
        <f t="shared" ca="1" si="49"/>
        <v>47162.294672574193</v>
      </c>
      <c r="Y209" s="140"/>
      <c r="Z209" s="140"/>
    </row>
    <row r="210" spans="14:26">
      <c r="N210" s="102" t="s">
        <v>506</v>
      </c>
      <c r="O210" s="102" t="s">
        <v>29</v>
      </c>
      <c r="P210" s="148" t="s">
        <v>7</v>
      </c>
      <c r="Q210" s="100" t="s">
        <v>177</v>
      </c>
      <c r="R210" s="100" t="s">
        <v>195</v>
      </c>
      <c r="S210" s="100" t="s">
        <v>207</v>
      </c>
      <c r="T210" s="217">
        <f t="shared" ca="1" si="46"/>
        <v>11656.070293730323</v>
      </c>
      <c r="U210" s="81">
        <f t="shared" ca="1" si="47"/>
        <v>11581.553004089901</v>
      </c>
      <c r="V210" s="140">
        <f t="shared" si="48"/>
        <v>167400.11911145085</v>
      </c>
      <c r="W210" s="81">
        <f t="shared" ca="1" si="49"/>
        <v>10326.187726209278</v>
      </c>
      <c r="Y210" s="140"/>
      <c r="Z210" s="140"/>
    </row>
    <row r="211" spans="14:26">
      <c r="N211" s="102" t="s">
        <v>506</v>
      </c>
      <c r="O211" s="102" t="s">
        <v>29</v>
      </c>
      <c r="P211" s="148" t="s">
        <v>7</v>
      </c>
      <c r="Q211" s="100" t="s">
        <v>177</v>
      </c>
      <c r="R211" s="100" t="s">
        <v>195</v>
      </c>
      <c r="S211" s="100" t="s">
        <v>208</v>
      </c>
      <c r="T211" s="217">
        <f t="shared" ca="1" si="46"/>
        <v>16063.90079208671</v>
      </c>
      <c r="U211" s="81">
        <f t="shared" ca="1" si="47"/>
        <v>15945.314363780079</v>
      </c>
      <c r="V211" s="140">
        <f t="shared" si="48"/>
        <v>266399.6814608078</v>
      </c>
      <c r="W211" s="81">
        <f t="shared" ca="1" si="49"/>
        <v>13947.532570556255</v>
      </c>
      <c r="Y211" s="140"/>
      <c r="Z211" s="140"/>
    </row>
    <row r="212" spans="14:26">
      <c r="N212" s="102" t="s">
        <v>506</v>
      </c>
      <c r="O212" s="102" t="s">
        <v>29</v>
      </c>
      <c r="P212" s="148" t="s">
        <v>7</v>
      </c>
      <c r="Q212" s="100" t="s">
        <v>177</v>
      </c>
      <c r="R212" s="100" t="s">
        <v>195</v>
      </c>
      <c r="S212" s="100" t="s">
        <v>201</v>
      </c>
      <c r="T212" s="217">
        <f t="shared" si="46"/>
        <v>336.56000000000006</v>
      </c>
      <c r="U212" s="81">
        <f t="shared" si="47"/>
        <v>336.56000000000006</v>
      </c>
      <c r="V212" s="140">
        <f t="shared" si="48"/>
        <v>601</v>
      </c>
      <c r="W212" s="81">
        <f t="shared" si="49"/>
        <v>342.17575611732883</v>
      </c>
      <c r="Y212" s="140"/>
      <c r="Z212" s="140"/>
    </row>
    <row r="213" spans="14:26">
      <c r="N213" s="150" t="s">
        <v>506</v>
      </c>
      <c r="O213" s="150" t="s">
        <v>29</v>
      </c>
      <c r="P213" s="151" t="s">
        <v>7</v>
      </c>
      <c r="Q213" s="152" t="s">
        <v>195</v>
      </c>
      <c r="R213" s="152" t="s">
        <v>195</v>
      </c>
      <c r="S213" s="216" t="s">
        <v>168</v>
      </c>
      <c r="T213" s="218">
        <f t="shared" si="46"/>
        <v>316128.70153986604</v>
      </c>
      <c r="U213" s="81">
        <f t="shared" si="47"/>
        <v>316128.70153986604</v>
      </c>
      <c r="V213" s="140">
        <f t="shared" si="48"/>
        <v>0</v>
      </c>
      <c r="W213" s="81">
        <f t="shared" si="49"/>
        <v>316128.70153986604</v>
      </c>
      <c r="Y213" s="140"/>
      <c r="Z213" s="140"/>
    </row>
    <row r="215" spans="14:26">
      <c r="T215" s="565" t="s">
        <v>215</v>
      </c>
      <c r="U215" s="539"/>
      <c r="V215" s="223"/>
    </row>
    <row r="216" spans="14:26">
      <c r="T216" s="220"/>
      <c r="U216" s="568" t="s">
        <v>176</v>
      </c>
      <c r="V216" s="264"/>
    </row>
    <row r="217" spans="14:26">
      <c r="T217" s="218"/>
      <c r="U217" s="542" t="s">
        <v>585</v>
      </c>
      <c r="V217" s="90" t="s">
        <v>509</v>
      </c>
    </row>
    <row r="218" spans="14:26">
      <c r="T218" s="564" t="s">
        <v>501</v>
      </c>
      <c r="U218" s="566">
        <f ca="1">SUM(U114:U147)-SUM(T82:T85)</f>
        <v>0</v>
      </c>
      <c r="V218" s="264">
        <f ca="1">ROUND(SUM(W114:W147)-SUM(X82:X85)-X108+X86,7)</f>
        <v>0</v>
      </c>
    </row>
    <row r="219" spans="14:26">
      <c r="T219" s="563" t="s">
        <v>503</v>
      </c>
      <c r="U219" s="567">
        <f ca="1">SUM(U180:U213)-SUM(T148:T151)</f>
        <v>0</v>
      </c>
      <c r="V219" s="265">
        <f ca="1">ROUND(SUM(W180:W213)-SUM(X148:X151)-X174+X152,7)</f>
        <v>0</v>
      </c>
    </row>
  </sheetData>
  <printOptions horizontalCentered="1"/>
  <pageMargins left="0.2" right="0.2" top="0.2" bottom="0.2" header="0" footer="0"/>
  <pageSetup scale="97" fitToHeight="0" orientation="landscape" r:id="rId1"/>
  <rowBreaks count="10" manualBreakCount="10">
    <brk id="20" max="12" man="1"/>
    <brk id="33" max="12" man="1"/>
    <brk id="35" min="13" max="19" man="1"/>
    <brk id="51" min="13" max="19" man="1"/>
    <brk id="81" min="13" max="19" man="1"/>
    <brk id="113" min="13" max="19" man="1"/>
    <brk id="130" min="13" max="19" man="1"/>
    <brk id="147" min="13" max="19" man="1"/>
    <brk id="179" min="13" max="19" man="1"/>
    <brk id="196" min="13" max="19" man="1"/>
  </rowBreaks>
  <ignoredErrors>
    <ignoredError sqref="T67:T80 T58:T65 T81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AAA0-DCCD-48EF-B045-331C06CFA27F}">
  <sheetPr>
    <pageSetUpPr fitToPage="1"/>
  </sheetPr>
  <dimension ref="A1:V73"/>
  <sheetViews>
    <sheetView showGridLines="0" view="pageBreakPreview" zoomScale="70" zoomScaleNormal="70" zoomScaleSheetLayoutView="70" workbookViewId="0">
      <pane ySplit="4" topLeftCell="A5" activePane="bottomLeft" state="frozen"/>
      <selection activeCell="G59" sqref="G59"/>
      <selection pane="bottomLeft" activeCell="A5" sqref="A5"/>
    </sheetView>
  </sheetViews>
  <sheetFormatPr defaultRowHeight="15.75"/>
  <cols>
    <col min="1" max="1" width="6.75" style="1" bestFit="1" customWidth="1"/>
    <col min="2" max="2" width="7.5" style="1" bestFit="1" customWidth="1"/>
    <col min="3" max="3" width="8.5" style="1" bestFit="1" customWidth="1"/>
    <col min="4" max="11" width="10.25" style="1" customWidth="1"/>
    <col min="12" max="12" width="46.25" style="157" bestFit="1" customWidth="1"/>
    <col min="13" max="13" width="7.125" style="157" bestFit="1" customWidth="1"/>
    <col min="14" max="14" width="15.125" style="157" bestFit="1" customWidth="1"/>
    <col min="15" max="16" width="13.375" style="158" customWidth="1"/>
    <col min="17" max="17" width="14.625" style="1" bestFit="1" customWidth="1"/>
    <col min="18" max="19" width="13.375" style="140" customWidth="1"/>
    <col min="20" max="22" width="13.375" style="1" customWidth="1"/>
    <col min="23" max="16384" width="9" style="1"/>
  </cols>
  <sheetData>
    <row r="1" spans="12:19">
      <c r="L1" s="261" t="s">
        <v>287</v>
      </c>
      <c r="M1" s="252"/>
      <c r="N1" s="252"/>
      <c r="O1" s="254"/>
      <c r="P1" s="81"/>
    </row>
    <row r="2" spans="12:19">
      <c r="L2" s="276" t="s">
        <v>487</v>
      </c>
      <c r="M2" s="255"/>
      <c r="N2" s="255"/>
      <c r="O2" s="271"/>
      <c r="P2" s="81"/>
    </row>
    <row r="3" spans="12:19" s="159" customFormat="1">
      <c r="L3" s="256" t="s">
        <v>407</v>
      </c>
      <c r="M3" s="257"/>
      <c r="N3" s="259"/>
      <c r="O3" s="260"/>
      <c r="P3" s="81"/>
      <c r="R3" s="143"/>
      <c r="S3" s="143"/>
    </row>
    <row r="4" spans="12:19" s="159" customFormat="1">
      <c r="L4" s="233"/>
      <c r="M4" s="233"/>
      <c r="N4" s="234" t="s">
        <v>401</v>
      </c>
      <c r="O4" s="235" t="s">
        <v>206</v>
      </c>
      <c r="P4" s="158"/>
      <c r="R4" s="143"/>
      <c r="S4" s="143"/>
    </row>
    <row r="5" spans="12:19" s="159" customFormat="1">
      <c r="L5" s="262" t="s">
        <v>217</v>
      </c>
      <c r="M5" s="145" t="s">
        <v>402</v>
      </c>
      <c r="N5" s="144" t="s">
        <v>335</v>
      </c>
      <c r="O5" s="144">
        <f>SUMIFS('Normalized Units'!I:I,'Normalized Units'!B:B,"Normalized Billing Units",'Normalized Units'!C:C,L$1,'Normalized Units'!H:H,N5)</f>
        <v>12</v>
      </c>
      <c r="P5" s="91"/>
      <c r="R5" s="143"/>
      <c r="S5" s="143"/>
    </row>
    <row r="6" spans="12:19" s="159" customFormat="1">
      <c r="L6" s="237" t="s">
        <v>217</v>
      </c>
      <c r="M6" s="102" t="s">
        <v>402</v>
      </c>
      <c r="N6" s="100" t="s">
        <v>281</v>
      </c>
      <c r="O6" s="100">
        <f>SUMIFS('Normalized Units'!I:I,'Normalized Units'!B:B,"Normalized Billing Units",'Normalized Units'!C:C,L$1,'Normalized Units'!H:H,N6)</f>
        <v>827586</v>
      </c>
      <c r="P6" s="91"/>
      <c r="R6" s="143"/>
      <c r="S6" s="143"/>
    </row>
    <row r="7" spans="12:19" s="159" customFormat="1">
      <c r="L7" s="237" t="s">
        <v>217</v>
      </c>
      <c r="M7" s="102" t="s">
        <v>402</v>
      </c>
      <c r="N7" s="100" t="s">
        <v>202</v>
      </c>
      <c r="O7" s="100">
        <f>SUMIFS('Normalized Units'!I:I,'Normalized Units'!B:B,"Normalized Billing Units",'Normalized Units'!C:C,L$1,'Normalized Units'!H:H,N7)</f>
        <v>815013</v>
      </c>
      <c r="P7" s="91"/>
      <c r="R7" s="143"/>
      <c r="S7" s="143"/>
    </row>
    <row r="8" spans="12:19" s="159" customFormat="1">
      <c r="L8" s="237" t="s">
        <v>217</v>
      </c>
      <c r="M8" s="102" t="s">
        <v>402</v>
      </c>
      <c r="N8" s="100" t="s">
        <v>207</v>
      </c>
      <c r="O8" s="100">
        <f>SUMIFS('Normalized Units'!I:I,'Normalized Units'!B:B,"Normalized Billing Units",'Normalized Units'!C:C,L$1,'Normalized Units'!H:H,N8)</f>
        <v>210164400.0636223</v>
      </c>
      <c r="P8" s="91"/>
      <c r="R8" s="143"/>
      <c r="S8" s="143"/>
    </row>
    <row r="9" spans="12:19" s="159" customFormat="1">
      <c r="L9" s="237" t="s">
        <v>217</v>
      </c>
      <c r="M9" s="102" t="s">
        <v>402</v>
      </c>
      <c r="N9" s="100" t="s">
        <v>208</v>
      </c>
      <c r="O9" s="100">
        <f>SUMIFS('Normalized Units'!I:I,'Normalized Units'!B:B,"Normalized Billing Units",'Normalized Units'!C:C,L$1,'Normalized Units'!H:H,N9)</f>
        <v>330066000</v>
      </c>
      <c r="P9" s="91"/>
      <c r="R9" s="143"/>
      <c r="S9" s="143"/>
    </row>
    <row r="10" spans="12:19" s="159" customFormat="1">
      <c r="L10" s="263" t="s">
        <v>217</v>
      </c>
      <c r="M10" s="150" t="s">
        <v>402</v>
      </c>
      <c r="N10" s="152" t="s">
        <v>201</v>
      </c>
      <c r="O10" s="152">
        <f>SUMIFS('Normalized Units'!I:I,'Normalized Units'!B:B,"Normalized Billing Units",'Normalized Units'!C:C,L$1,'Normalized Units'!H:H,N10)</f>
        <v>22838.999999999996</v>
      </c>
      <c r="P10" s="91"/>
      <c r="R10" s="143"/>
      <c r="S10" s="143"/>
    </row>
    <row r="11" spans="12:19" s="140" customFormat="1">
      <c r="L11" s="145" t="s">
        <v>406</v>
      </c>
      <c r="M11" s="145" t="s">
        <v>403</v>
      </c>
      <c r="N11" s="145" t="s">
        <v>335</v>
      </c>
      <c r="O11" s="323">
        <v>2999</v>
      </c>
      <c r="P11" s="355"/>
      <c r="Q11" s="1"/>
    </row>
    <row r="12" spans="12:19" s="140" customFormat="1">
      <c r="L12" s="102" t="s">
        <v>406</v>
      </c>
      <c r="M12" s="102" t="s">
        <v>403</v>
      </c>
      <c r="N12" s="100" t="s">
        <v>281</v>
      </c>
      <c r="O12" s="324">
        <v>0.26</v>
      </c>
      <c r="P12" s="355"/>
      <c r="Q12" s="1"/>
    </row>
    <row r="13" spans="12:19" s="140" customFormat="1">
      <c r="L13" s="102" t="s">
        <v>406</v>
      </c>
      <c r="M13" s="102" t="s">
        <v>403</v>
      </c>
      <c r="N13" s="100" t="s">
        <v>202</v>
      </c>
      <c r="O13" s="324">
        <v>8.93</v>
      </c>
      <c r="P13" s="355"/>
      <c r="Q13" s="1"/>
    </row>
    <row r="14" spans="12:19" s="140" customFormat="1">
      <c r="L14" s="102" t="s">
        <v>406</v>
      </c>
      <c r="M14" s="102" t="s">
        <v>403</v>
      </c>
      <c r="N14" s="100" t="s">
        <v>207</v>
      </c>
      <c r="O14" s="324">
        <v>6.1969999999999997E-2</v>
      </c>
      <c r="P14" s="355"/>
      <c r="Q14" s="1"/>
    </row>
    <row r="15" spans="12:19" s="140" customFormat="1">
      <c r="L15" s="102" t="s">
        <v>406</v>
      </c>
      <c r="M15" s="102" t="s">
        <v>403</v>
      </c>
      <c r="N15" s="100" t="s">
        <v>208</v>
      </c>
      <c r="O15" s="324">
        <v>5.2639999999999999E-2</v>
      </c>
      <c r="P15" s="355">
        <f>ROUND(26113617.80325/463519192.5,5)</f>
        <v>5.6340000000000001E-2</v>
      </c>
      <c r="Q15" s="1"/>
    </row>
    <row r="16" spans="12:19" s="140" customFormat="1">
      <c r="L16" s="150" t="s">
        <v>406</v>
      </c>
      <c r="M16" s="150" t="s">
        <v>403</v>
      </c>
      <c r="N16" s="152" t="s">
        <v>201</v>
      </c>
      <c r="O16" s="325">
        <v>0.55000000000000004</v>
      </c>
      <c r="P16" s="355"/>
      <c r="Q16" s="1"/>
    </row>
    <row r="17" spans="1:22" s="140" customFormat="1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5" t="s">
        <v>406</v>
      </c>
      <c r="M17" s="145" t="s">
        <v>29</v>
      </c>
      <c r="N17" s="146" t="s">
        <v>335</v>
      </c>
      <c r="O17" s="220">
        <f t="shared" ref="O17:O22" si="0">O5*O11</f>
        <v>35988</v>
      </c>
      <c r="P17" s="158"/>
    </row>
    <row r="18" spans="1:22" s="140" customFormat="1">
      <c r="A18" s="143"/>
      <c r="L18" s="102" t="s">
        <v>406</v>
      </c>
      <c r="M18" s="102" t="s">
        <v>29</v>
      </c>
      <c r="N18" s="148" t="s">
        <v>281</v>
      </c>
      <c r="O18" s="217">
        <f t="shared" si="0"/>
        <v>215172.36000000002</v>
      </c>
      <c r="P18" s="158"/>
    </row>
    <row r="19" spans="1:22" s="140" customFormat="1">
      <c r="A19" s="143"/>
      <c r="L19" s="102" t="s">
        <v>406</v>
      </c>
      <c r="M19" s="102" t="s">
        <v>29</v>
      </c>
      <c r="N19" s="148" t="s">
        <v>202</v>
      </c>
      <c r="O19" s="217">
        <f t="shared" si="0"/>
        <v>7278066.0899999999</v>
      </c>
      <c r="P19" s="158"/>
    </row>
    <row r="20" spans="1:22" s="140" customFormat="1">
      <c r="A20" s="143"/>
      <c r="L20" s="102" t="s">
        <v>406</v>
      </c>
      <c r="M20" s="102" t="s">
        <v>29</v>
      </c>
      <c r="N20" s="148" t="s">
        <v>207</v>
      </c>
      <c r="O20" s="217">
        <f t="shared" si="0"/>
        <v>13023887.871942673</v>
      </c>
      <c r="P20" s="158"/>
    </row>
    <row r="21" spans="1:22" s="140" customFormat="1">
      <c r="A21" s="143"/>
      <c r="L21" s="102" t="s">
        <v>406</v>
      </c>
      <c r="M21" s="102" t="s">
        <v>29</v>
      </c>
      <c r="N21" s="148" t="s">
        <v>208</v>
      </c>
      <c r="O21" s="217">
        <f t="shared" si="0"/>
        <v>17374674.239999998</v>
      </c>
      <c r="P21" s="158"/>
    </row>
    <row r="22" spans="1:22" s="140" customFormat="1">
      <c r="A22" s="143"/>
      <c r="L22" s="102" t="s">
        <v>406</v>
      </c>
      <c r="M22" s="102" t="s">
        <v>29</v>
      </c>
      <c r="N22" s="148" t="s">
        <v>201</v>
      </c>
      <c r="O22" s="217">
        <f t="shared" si="0"/>
        <v>12561.449999999999</v>
      </c>
      <c r="P22" s="158"/>
    </row>
    <row r="23" spans="1:22" s="140" customFormat="1">
      <c r="A23" s="143"/>
      <c r="L23" s="150" t="s">
        <v>406</v>
      </c>
      <c r="M23" s="150" t="s">
        <v>29</v>
      </c>
      <c r="N23" s="265" t="s">
        <v>168</v>
      </c>
      <c r="O23" s="218">
        <f>Unbilled!E15</f>
        <v>730955.31297389569</v>
      </c>
      <c r="P23" s="158"/>
    </row>
    <row r="24" spans="1:22">
      <c r="A24" s="143"/>
      <c r="L24" s="309" t="s">
        <v>536</v>
      </c>
      <c r="M24" s="145" t="s">
        <v>29</v>
      </c>
      <c r="N24" s="219" t="s">
        <v>195</v>
      </c>
      <c r="O24" s="219">
        <f ca="1">'Cost of Service and Proposed $'!P123</f>
        <v>86093.83513372537</v>
      </c>
      <c r="P24" s="157"/>
    </row>
    <row r="25" spans="1:22">
      <c r="A25" s="143"/>
      <c r="L25" s="327" t="s">
        <v>537</v>
      </c>
      <c r="M25" s="102" t="s">
        <v>29</v>
      </c>
      <c r="N25" s="215" t="s">
        <v>195</v>
      </c>
      <c r="O25" s="215">
        <f ca="1">'Cost of Service and Proposed $'!P124</f>
        <v>11995358.642861906</v>
      </c>
      <c r="P25" s="1"/>
    </row>
    <row r="26" spans="1:22">
      <c r="A26" s="143"/>
      <c r="L26" s="327" t="s">
        <v>538</v>
      </c>
      <c r="M26" s="102" t="s">
        <v>29</v>
      </c>
      <c r="N26" s="215" t="s">
        <v>195</v>
      </c>
      <c r="O26" s="215">
        <f ca="1">'Cost of Service and Proposed $'!P125</f>
        <v>4697146.8986344337</v>
      </c>
      <c r="P26" s="81"/>
      <c r="Q26" s="140"/>
      <c r="T26" s="140"/>
      <c r="U26" s="140"/>
      <c r="V26" s="140"/>
    </row>
    <row r="27" spans="1:22">
      <c r="A27" s="384" t="s">
        <v>287</v>
      </c>
      <c r="B27" s="385"/>
      <c r="C27" s="385"/>
      <c r="D27" s="379"/>
      <c r="E27" s="379"/>
      <c r="F27" s="379"/>
      <c r="G27" s="379"/>
      <c r="H27" s="379"/>
      <c r="I27" s="379"/>
      <c r="J27" s="379"/>
      <c r="K27" s="380"/>
      <c r="L27" s="310" t="s">
        <v>539</v>
      </c>
      <c r="M27" s="150" t="s">
        <v>29</v>
      </c>
      <c r="N27" s="216" t="s">
        <v>195</v>
      </c>
      <c r="O27" s="216">
        <f ca="1">'Cost of Service and Proposed $'!P126</f>
        <v>27289153.088216111</v>
      </c>
      <c r="P27" s="81"/>
      <c r="Q27" s="140"/>
      <c r="T27" s="140"/>
      <c r="U27" s="140"/>
      <c r="V27" s="140"/>
    </row>
    <row r="28" spans="1:22">
      <c r="A28" s="387" t="s">
        <v>487</v>
      </c>
      <c r="B28" s="343"/>
      <c r="C28" s="343"/>
      <c r="D28" s="377"/>
      <c r="E28" s="377"/>
      <c r="F28" s="377"/>
      <c r="G28" s="377"/>
      <c r="H28" s="377"/>
      <c r="I28" s="377"/>
      <c r="J28" s="377"/>
      <c r="K28" s="381"/>
      <c r="L28" s="396" t="s">
        <v>534</v>
      </c>
      <c r="M28" s="145" t="s">
        <v>29</v>
      </c>
      <c r="N28" s="145" t="s">
        <v>335</v>
      </c>
      <c r="O28" s="268">
        <f ca="1">(P28*(Q28-R28)+100*R28)/100</f>
        <v>45461.729767144985</v>
      </c>
      <c r="P28" s="518">
        <v>10</v>
      </c>
      <c r="Q28" s="158">
        <f ca="1">O24*(1-SUM(Q32:Q33)/SUM(O24:O27))</f>
        <v>84641.248922034647</v>
      </c>
      <c r="R28" s="158" cm="1">
        <f t="array" aca="1" ref="R28" ca="1">SUMIFS(O$17:O$23,N$17:N$23,"Bill")/SUM(SUMIFS(O$17:O$23,N$17:N$23,{"Bill","Load Size kW","kW","kWh*"}))*(SUM(O$24:O$27)-SUM(R$32:R$33))</f>
        <v>41108.449861046138</v>
      </c>
      <c r="T28" s="140"/>
      <c r="U28" s="140"/>
      <c r="V28" s="140"/>
    </row>
    <row r="29" spans="1:22">
      <c r="A29" s="387" t="s">
        <v>508</v>
      </c>
      <c r="B29" s="343"/>
      <c r="C29" s="343"/>
      <c r="D29" s="382"/>
      <c r="E29" s="382"/>
      <c r="F29" s="382"/>
      <c r="G29" s="382"/>
      <c r="H29" s="382"/>
      <c r="I29" s="382"/>
      <c r="J29" s="382"/>
      <c r="K29" s="383"/>
      <c r="L29" s="395" t="s">
        <v>534</v>
      </c>
      <c r="M29" s="102" t="s">
        <v>29</v>
      </c>
      <c r="N29" s="100" t="s">
        <v>281</v>
      </c>
      <c r="O29" s="141">
        <f t="shared" ref="O29:O33" ca="1" si="1">(P29*(Q29-R29)+100*R29)/100</f>
        <v>1400505.9321465688</v>
      </c>
      <c r="P29" s="236">
        <f>$P$28</f>
        <v>10</v>
      </c>
      <c r="Q29" s="158">
        <f ca="1">O25*(1-SUM(Q32:Q33)/SUM(O24:O27))</f>
        <v>11792971.415694688</v>
      </c>
      <c r="R29" s="158" cm="1">
        <f t="array" aca="1" ref="R29" ca="1">SUMIFS(O$17:O$23,N$17:N$23,"Load Size kW")/SUM(SUMIFS(O$17:O$23,N$17:N$23,{"Bill","Load Size kW","kW","kWh*"}))*(SUM(O$24:O$27)-SUM(R$32:R$33))</f>
        <v>245787.54508566661</v>
      </c>
      <c r="T29" s="140"/>
      <c r="U29" s="140"/>
      <c r="V29" s="140"/>
    </row>
    <row r="30" spans="1:22">
      <c r="A30" s="437"/>
      <c r="B30" s="437"/>
      <c r="C30" s="437"/>
      <c r="D30" s="516" t="s">
        <v>623</v>
      </c>
      <c r="E30" s="539"/>
      <c r="F30" s="539"/>
      <c r="G30" s="539"/>
      <c r="H30" s="539"/>
      <c r="I30" s="539"/>
      <c r="J30" s="539"/>
      <c r="K30" s="441"/>
      <c r="L30" s="395" t="s">
        <v>534</v>
      </c>
      <c r="M30" s="102" t="s">
        <v>29</v>
      </c>
      <c r="N30" s="100" t="s">
        <v>202</v>
      </c>
      <c r="O30" s="141">
        <f t="shared" ca="1" si="1"/>
        <v>7944034.0586023247</v>
      </c>
      <c r="P30" s="236">
        <f t="shared" ref="P30:P33" si="2">$P$28</f>
        <v>10</v>
      </c>
      <c r="Q30" s="158">
        <f ca="1">O26*(1-SUM(Q32:Q33)/SUM(O24:O27))</f>
        <v>4617896.0346365133</v>
      </c>
      <c r="R30" s="158" cm="1">
        <f t="array" aca="1" ref="R30" ca="1">SUMIFS(O$17:O$23,N$17:N$23,"kW")/SUM(SUMIFS(O$17:O$23,N$17:N$23,{"Bill","Load Size kW","kW","kWh*"}))*(SUM(O$24:O$27)-SUM(R$32:R$33))</f>
        <v>8313604.9501540819</v>
      </c>
      <c r="T30" s="140"/>
      <c r="U30" s="140"/>
      <c r="V30" s="140"/>
    </row>
    <row r="31" spans="1:22">
      <c r="A31" s="428" t="s">
        <v>490</v>
      </c>
      <c r="B31" s="141" t="s">
        <v>528</v>
      </c>
      <c r="C31" s="429"/>
      <c r="D31" s="386" t="s">
        <v>501</v>
      </c>
      <c r="E31" s="386"/>
      <c r="F31" s="341"/>
      <c r="G31" s="308"/>
      <c r="H31" s="346" t="s">
        <v>503</v>
      </c>
      <c r="I31" s="386"/>
      <c r="J31" s="341"/>
      <c r="K31" s="308"/>
      <c r="L31" s="395" t="s">
        <v>534</v>
      </c>
      <c r="M31" s="102" t="s">
        <v>29</v>
      </c>
      <c r="N31" s="100" t="s">
        <v>6</v>
      </c>
      <c r="O31" s="141">
        <f t="shared" ca="1" si="1"/>
        <v>33934233.981356241</v>
      </c>
      <c r="P31" s="236">
        <f t="shared" si="2"/>
        <v>10</v>
      </c>
      <c r="Q31" s="158">
        <f ca="1">O27*(1-SUM(Q32:Q33)/SUM(O24:O27))</f>
        <v>26828727.002619047</v>
      </c>
      <c r="R31" s="158" cm="1">
        <f t="array" aca="1" ref="R31" ca="1">SUMIFS(O$17:O$23,N$17:N$23,"kWh*")/SUM(SUMIFS(O$17:O$23,N$17:N$23,{"Bill","Load Size kW","kW","kWh*"}))*(SUM(O$24:O$27)-SUM(R$32:R$33))</f>
        <v>34723734.756771483</v>
      </c>
      <c r="T31" s="140"/>
      <c r="U31" s="140"/>
      <c r="V31" s="140"/>
    </row>
    <row r="32" spans="1:22">
      <c r="A32" s="428" t="s">
        <v>527</v>
      </c>
      <c r="B32" s="429" t="s">
        <v>530</v>
      </c>
      <c r="C32" s="428"/>
      <c r="D32" s="649"/>
      <c r="E32" s="392"/>
      <c r="F32" s="392"/>
      <c r="G32" s="220" t="s">
        <v>494</v>
      </c>
      <c r="H32" s="392"/>
      <c r="I32" s="392"/>
      <c r="J32" s="392"/>
      <c r="K32" s="220" t="s">
        <v>494</v>
      </c>
      <c r="L32" s="395" t="s">
        <v>534</v>
      </c>
      <c r="M32" s="102" t="s">
        <v>29</v>
      </c>
      <c r="N32" s="100" t="s">
        <v>201</v>
      </c>
      <c r="O32" s="141">
        <f t="shared" si="1"/>
        <v>12561.45</v>
      </c>
      <c r="P32" s="236">
        <f t="shared" si="2"/>
        <v>10</v>
      </c>
      <c r="Q32" s="158">
        <f>O22</f>
        <v>12561.449999999999</v>
      </c>
      <c r="R32" s="158">
        <f>O22</f>
        <v>12561.449999999999</v>
      </c>
      <c r="T32" s="140"/>
      <c r="U32" s="140"/>
      <c r="V32" s="140"/>
    </row>
    <row r="33" spans="1:22">
      <c r="A33" s="430" t="s">
        <v>529</v>
      </c>
      <c r="B33" s="430" t="s">
        <v>529</v>
      </c>
      <c r="C33" s="430" t="s">
        <v>528</v>
      </c>
      <c r="D33" s="650" t="s">
        <v>406</v>
      </c>
      <c r="E33" s="284" t="s">
        <v>412</v>
      </c>
      <c r="F33" s="218" t="s">
        <v>414</v>
      </c>
      <c r="G33" s="218" t="s">
        <v>414</v>
      </c>
      <c r="H33" s="363" t="s">
        <v>406</v>
      </c>
      <c r="I33" s="284" t="s">
        <v>412</v>
      </c>
      <c r="J33" s="218" t="s">
        <v>414</v>
      </c>
      <c r="K33" s="218" t="s">
        <v>414</v>
      </c>
      <c r="L33" s="397" t="s">
        <v>534</v>
      </c>
      <c r="M33" s="150" t="s">
        <v>29</v>
      </c>
      <c r="N33" s="152" t="s">
        <v>168</v>
      </c>
      <c r="O33" s="142">
        <f t="shared" si="1"/>
        <v>730955.31297389569</v>
      </c>
      <c r="P33" s="236">
        <f t="shared" si="2"/>
        <v>10</v>
      </c>
      <c r="Q33" s="158">
        <f>O23</f>
        <v>730955.31297389569</v>
      </c>
      <c r="R33" s="158">
        <f>O23</f>
        <v>730955.31297389569</v>
      </c>
      <c r="T33" s="140"/>
      <c r="U33" s="140"/>
      <c r="V33" s="140"/>
    </row>
    <row r="34" spans="1:22">
      <c r="A34" s="327">
        <v>30</v>
      </c>
      <c r="B34" s="327">
        <v>300</v>
      </c>
      <c r="C34" s="292">
        <f t="shared" ref="C34:C45" si="3">A34*B34</f>
        <v>9000</v>
      </c>
      <c r="D34" s="415">
        <f t="shared" ref="D34:D45" si="4">O$11/1000+(O$12+O$13)*A34+P$15*C34</f>
        <v>785.75900000000001</v>
      </c>
      <c r="E34" s="268">
        <f t="shared" ref="E34:E45" ca="1" si="5">O$34/1000+(O$35+O$36)*A34+V$38*C34</f>
        <v>873.11556999999993</v>
      </c>
      <c r="F34" s="268">
        <f t="shared" ref="F34:F45" ca="1" si="6">E34-D34</f>
        <v>87.35656999999992</v>
      </c>
      <c r="G34" s="532">
        <f t="shared" ref="G34:G45" ca="1" si="7">IFERROR(F34/D34*100,100)</f>
        <v>11.117476223625809</v>
      </c>
      <c r="H34" s="268">
        <f t="shared" ref="H34:H45" ca="1" si="8">O$34/1000+(O$35+O$36)*A34+V$38*C34</f>
        <v>873.11556999999993</v>
      </c>
      <c r="I34" s="320">
        <f t="shared" ref="I34:I45" ca="1" si="9">O$57/1000+(O$58+O$59)*A34+V$61*C34</f>
        <v>945.23992999999996</v>
      </c>
      <c r="J34" s="268">
        <f t="shared" ref="J34:J45" ca="1" si="10">I34-H34</f>
        <v>72.124360000000024</v>
      </c>
      <c r="K34" s="517">
        <f t="shared" ref="K34:K45" ca="1" si="11">IFERROR(J34/H34*100,100)</f>
        <v>8.2605742559372786</v>
      </c>
      <c r="L34" s="145" t="s">
        <v>505</v>
      </c>
      <c r="M34" s="145" t="s">
        <v>403</v>
      </c>
      <c r="N34" s="145" t="s">
        <v>335</v>
      </c>
      <c r="O34" s="323">
        <f ca="1">ROUND(P34/100*S34/T34+U34,Q34)</f>
        <v>3625.57</v>
      </c>
      <c r="P34" s="236">
        <f>100+Summary!$Q$12</f>
        <v>95.7</v>
      </c>
      <c r="Q34" s="140">
        <v>2</v>
      </c>
      <c r="R34" s="311">
        <f ca="1">S34/T34+U34</f>
        <v>3788.4774805954153</v>
      </c>
      <c r="S34" s="140">
        <f ca="1">SUMIFS(O$28:O$33,N$28:N$33,N34)</f>
        <v>45461.729767144985</v>
      </c>
      <c r="T34" s="140">
        <f>SUMIFS(O$5:O$10,N$5:N$10,N34)</f>
        <v>12</v>
      </c>
      <c r="U34" s="140"/>
      <c r="V34" s="140"/>
    </row>
    <row r="35" spans="1:22">
      <c r="A35" s="327">
        <v>30</v>
      </c>
      <c r="B35" s="141">
        <v>500</v>
      </c>
      <c r="C35" s="292">
        <f t="shared" si="3"/>
        <v>15000</v>
      </c>
      <c r="D35" s="393">
        <f t="shared" si="4"/>
        <v>1123.799</v>
      </c>
      <c r="E35" s="141">
        <f t="shared" ca="1" si="5"/>
        <v>1233.77557</v>
      </c>
      <c r="F35" s="141">
        <f t="shared" ca="1" si="6"/>
        <v>109.97657000000004</v>
      </c>
      <c r="G35" s="529">
        <f t="shared" ca="1" si="7"/>
        <v>9.7861423617568644</v>
      </c>
      <c r="H35" s="141">
        <f t="shared" ca="1" si="8"/>
        <v>1233.77557</v>
      </c>
      <c r="I35" s="275">
        <f t="shared" ca="1" si="9"/>
        <v>1321.7999299999999</v>
      </c>
      <c r="J35" s="141">
        <f t="shared" ca="1" si="10"/>
        <v>88.024359999999888</v>
      </c>
      <c r="K35" s="512">
        <f t="shared" ca="1" si="11"/>
        <v>7.1345520320198821</v>
      </c>
      <c r="L35" s="102" t="s">
        <v>505</v>
      </c>
      <c r="M35" s="102" t="s">
        <v>403</v>
      </c>
      <c r="N35" s="100" t="s">
        <v>281</v>
      </c>
      <c r="O35" s="324">
        <f t="shared" ref="O35:O39" ca="1" si="12">ROUND(P35/100*S35/T35+U35,Q35)</f>
        <v>1.62</v>
      </c>
      <c r="P35" s="236">
        <f>100+Summary!$Q$12</f>
        <v>95.7</v>
      </c>
      <c r="Q35" s="140">
        <v>2</v>
      </c>
      <c r="R35" s="311">
        <f t="shared" ref="R35:R39" ca="1" si="13">S35/T35+U35</f>
        <v>1.6922784244133766</v>
      </c>
      <c r="S35" s="140">
        <f ca="1">SUMIFS(O$28:O$33,N$28:N$33,N35)</f>
        <v>1400505.9321465688</v>
      </c>
      <c r="T35" s="140">
        <f>SUMIFS(O$5:O$10,N$5:N$10,N35)</f>
        <v>827586</v>
      </c>
      <c r="U35" s="140"/>
      <c r="V35" s="140"/>
    </row>
    <row r="36" spans="1:22">
      <c r="A36" s="327">
        <v>30</v>
      </c>
      <c r="B36" s="141">
        <v>700</v>
      </c>
      <c r="C36" s="292">
        <f t="shared" si="3"/>
        <v>21000</v>
      </c>
      <c r="D36" s="393">
        <f t="shared" si="4"/>
        <v>1461.8390000000002</v>
      </c>
      <c r="E36" s="141">
        <f t="shared" ca="1" si="5"/>
        <v>1594.4355699999999</v>
      </c>
      <c r="F36" s="141">
        <f t="shared" ca="1" si="6"/>
        <v>132.5965699999997</v>
      </c>
      <c r="G36" s="529">
        <f t="shared" ca="1" si="7"/>
        <v>9.070531706980022</v>
      </c>
      <c r="H36" s="141">
        <f t="shared" ca="1" si="8"/>
        <v>1594.4355699999999</v>
      </c>
      <c r="I36" s="275">
        <f t="shared" ca="1" si="9"/>
        <v>1698.3599300000001</v>
      </c>
      <c r="J36" s="141">
        <f t="shared" ca="1" si="10"/>
        <v>103.92436000000021</v>
      </c>
      <c r="K36" s="512">
        <f t="shared" ca="1" si="11"/>
        <v>6.5179403894006338</v>
      </c>
      <c r="L36" s="102" t="s">
        <v>505</v>
      </c>
      <c r="M36" s="102" t="s">
        <v>403</v>
      </c>
      <c r="N36" s="100" t="s">
        <v>202</v>
      </c>
      <c r="O36" s="324">
        <f t="shared" ca="1" si="12"/>
        <v>9.33</v>
      </c>
      <c r="P36" s="236">
        <f>100+Summary!$Q$12</f>
        <v>95.7</v>
      </c>
      <c r="Q36" s="140">
        <v>2</v>
      </c>
      <c r="R36" s="311">
        <f t="shared" ca="1" si="13"/>
        <v>9.7471255778770711</v>
      </c>
      <c r="S36" s="140">
        <f ca="1">SUMIFS(O$28:O$33,N$28:N$33,N36)</f>
        <v>7944034.0586023247</v>
      </c>
      <c r="T36" s="140">
        <f>SUMIFS(O$5:O$10,N$5:N$10,N36)</f>
        <v>815013</v>
      </c>
      <c r="U36" s="140"/>
      <c r="V36" s="140"/>
    </row>
    <row r="37" spans="1:22">
      <c r="A37" s="327">
        <v>40</v>
      </c>
      <c r="B37" s="327">
        <v>300</v>
      </c>
      <c r="C37" s="292">
        <f t="shared" si="3"/>
        <v>12000</v>
      </c>
      <c r="D37" s="393">
        <f t="shared" si="4"/>
        <v>1046.6790000000001</v>
      </c>
      <c r="E37" s="141">
        <f t="shared" ca="1" si="5"/>
        <v>1162.9455699999999</v>
      </c>
      <c r="F37" s="141">
        <f t="shared" ca="1" si="6"/>
        <v>116.26656999999977</v>
      </c>
      <c r="G37" s="529">
        <f t="shared" ca="1" si="7"/>
        <v>11.10814012701122</v>
      </c>
      <c r="H37" s="141">
        <f t="shared" ca="1" si="8"/>
        <v>1162.9455699999999</v>
      </c>
      <c r="I37" s="275">
        <f t="shared" ca="1" si="9"/>
        <v>1258.91993</v>
      </c>
      <c r="J37" s="141">
        <f t="shared" ca="1" si="10"/>
        <v>95.974360000000161</v>
      </c>
      <c r="K37" s="512">
        <f t="shared" ca="1" si="11"/>
        <v>8.2526957817982982</v>
      </c>
      <c r="L37" s="102" t="s">
        <v>505</v>
      </c>
      <c r="M37" s="102" t="s">
        <v>403</v>
      </c>
      <c r="N37" s="100" t="s">
        <v>207</v>
      </c>
      <c r="O37" s="324">
        <f t="shared" ca="1" si="12"/>
        <v>6.5809999999999994E-2</v>
      </c>
      <c r="P37" s="236">
        <f>100+Summary!$Q$12</f>
        <v>95.7</v>
      </c>
      <c r="Q37" s="140">
        <v>5</v>
      </c>
      <c r="R37" s="311">
        <f t="shared" ca="1" si="13"/>
        <v>6.8514748072298737E-2</v>
      </c>
      <c r="S37" s="140">
        <f ca="1">SUMIFS(O$28:O$33,N$28:N$33,"kWh")</f>
        <v>33934233.981356241</v>
      </c>
      <c r="T37" s="140">
        <f>SUMIFS(O$5:O$10,N$5:N$10,"kWh*")</f>
        <v>540230400.06362224</v>
      </c>
      <c r="U37" s="311">
        <f>O9/(O8+O9)*(O14-O15)</f>
        <v>5.7003748393969107E-3</v>
      </c>
      <c r="V37" s="140"/>
    </row>
    <row r="38" spans="1:22">
      <c r="A38" s="327">
        <v>40</v>
      </c>
      <c r="B38" s="141">
        <v>500</v>
      </c>
      <c r="C38" s="292">
        <f t="shared" si="3"/>
        <v>20000</v>
      </c>
      <c r="D38" s="393">
        <f t="shared" si="4"/>
        <v>1497.3989999999999</v>
      </c>
      <c r="E38" s="141">
        <f t="shared" ca="1" si="5"/>
        <v>1643.82557</v>
      </c>
      <c r="F38" s="141">
        <f t="shared" ca="1" si="6"/>
        <v>146.42657000000008</v>
      </c>
      <c r="G38" s="529">
        <f t="shared" ca="1" si="7"/>
        <v>9.7787276470733655</v>
      </c>
      <c r="H38" s="141">
        <f t="shared" ca="1" si="8"/>
        <v>1643.82557</v>
      </c>
      <c r="I38" s="275">
        <f t="shared" ca="1" si="9"/>
        <v>1760.9999299999997</v>
      </c>
      <c r="J38" s="141">
        <f t="shared" ca="1" si="10"/>
        <v>117.17435999999975</v>
      </c>
      <c r="K38" s="512">
        <f t="shared" ca="1" si="11"/>
        <v>7.12815046428556</v>
      </c>
      <c r="L38" s="102" t="s">
        <v>505</v>
      </c>
      <c r="M38" s="102" t="s">
        <v>403</v>
      </c>
      <c r="N38" s="100" t="s">
        <v>208</v>
      </c>
      <c r="O38" s="324">
        <f ca="1">ROUND(P38/100*S38/T38+U38,Q38)</f>
        <v>5.6480000000000002E-2</v>
      </c>
      <c r="P38" s="236">
        <f>100+Summary!$Q$12</f>
        <v>95.7</v>
      </c>
      <c r="Q38" s="140">
        <v>5</v>
      </c>
      <c r="R38" s="311">
        <f t="shared" ca="1" si="13"/>
        <v>5.9184748072298739E-2</v>
      </c>
      <c r="S38" s="140">
        <f ca="1">SUMIFS(O$28:O$33,N$28:N$33,"kWh")</f>
        <v>33934233.981356241</v>
      </c>
      <c r="T38" s="140">
        <f>SUMIFS(O$5:O$10,N$5:N$10,"kWh*")</f>
        <v>540230400.06362224</v>
      </c>
      <c r="U38" s="311">
        <f>O8/(O8+O9)*(O15-O14)</f>
        <v>-3.6296251606030886E-3</v>
      </c>
      <c r="V38" s="311">
        <f ca="1">ROUND(P38/100*S38/T38,Q38)</f>
        <v>6.0109999999999997E-2</v>
      </c>
    </row>
    <row r="39" spans="1:22">
      <c r="A39" s="327">
        <v>40</v>
      </c>
      <c r="B39" s="141">
        <v>700</v>
      </c>
      <c r="C39" s="292">
        <f t="shared" si="3"/>
        <v>28000</v>
      </c>
      <c r="D39" s="393">
        <f t="shared" si="4"/>
        <v>1948.1189999999999</v>
      </c>
      <c r="E39" s="141">
        <f t="shared" ca="1" si="5"/>
        <v>2124.7055700000001</v>
      </c>
      <c r="F39" s="141">
        <f t="shared" ca="1" si="6"/>
        <v>176.58657000000017</v>
      </c>
      <c r="G39" s="529">
        <f t="shared" ca="1" si="7"/>
        <v>9.0644652611057204</v>
      </c>
      <c r="H39" s="141">
        <f t="shared" ca="1" si="8"/>
        <v>2124.7055700000001</v>
      </c>
      <c r="I39" s="275">
        <f t="shared" ca="1" si="9"/>
        <v>2263.0799299999999</v>
      </c>
      <c r="J39" s="141">
        <f t="shared" ca="1" si="10"/>
        <v>138.3743599999998</v>
      </c>
      <c r="K39" s="512">
        <f t="shared" ca="1" si="11"/>
        <v>6.5126369485631734</v>
      </c>
      <c r="L39" s="150" t="s">
        <v>505</v>
      </c>
      <c r="M39" s="150" t="s">
        <v>403</v>
      </c>
      <c r="N39" s="152" t="s">
        <v>201</v>
      </c>
      <c r="O39" s="325">
        <f t="shared" si="12"/>
        <v>0.53</v>
      </c>
      <c r="P39" s="236">
        <f>100+Summary!$Q$12</f>
        <v>95.7</v>
      </c>
      <c r="Q39" s="140">
        <v>2</v>
      </c>
      <c r="R39" s="311">
        <f t="shared" si="13"/>
        <v>0.55000000000000016</v>
      </c>
      <c r="S39" s="140">
        <f>SUMIFS(O$28:O$33,N$28:N$33,N39)</f>
        <v>12561.45</v>
      </c>
      <c r="T39" s="140">
        <f>SUMIFS(O$5:O$10,N$5:N$10,N39)</f>
        <v>22838.999999999996</v>
      </c>
      <c r="U39" s="140"/>
      <c r="V39" s="140"/>
    </row>
    <row r="40" spans="1:22">
      <c r="A40" s="327">
        <v>50</v>
      </c>
      <c r="B40" s="327">
        <v>300</v>
      </c>
      <c r="C40" s="292">
        <f t="shared" si="3"/>
        <v>15000</v>
      </c>
      <c r="D40" s="393">
        <f t="shared" si="4"/>
        <v>1307.5990000000002</v>
      </c>
      <c r="E40" s="141">
        <f t="shared" ca="1" si="5"/>
        <v>1452.77557</v>
      </c>
      <c r="F40" s="141">
        <f t="shared" ca="1" si="6"/>
        <v>145.17656999999986</v>
      </c>
      <c r="G40" s="529">
        <f t="shared" ca="1" si="7"/>
        <v>11.102529904045493</v>
      </c>
      <c r="H40" s="141">
        <f t="shared" ca="1" si="8"/>
        <v>1452.77557</v>
      </c>
      <c r="I40" s="275">
        <f t="shared" ca="1" si="9"/>
        <v>1572.5999299999999</v>
      </c>
      <c r="J40" s="141">
        <f t="shared" ca="1" si="10"/>
        <v>119.82435999999984</v>
      </c>
      <c r="K40" s="512">
        <f t="shared" ca="1" si="11"/>
        <v>8.2479608326563376</v>
      </c>
      <c r="L40" s="145" t="s">
        <v>505</v>
      </c>
      <c r="M40" s="145" t="s">
        <v>29</v>
      </c>
      <c r="N40" s="145" t="s">
        <v>335</v>
      </c>
      <c r="O40" s="220">
        <f t="shared" ref="O40:O46" ca="1" si="14">IF(N40="Unbilled",SUMIFS(O$17:O$23,N$17:N$23,N40),SUMIFS(O$34:O$39,N$34:N$39,N40)*Q40)</f>
        <v>43506.840000000004</v>
      </c>
      <c r="P40" s="140">
        <f t="shared" ref="P40:P46" ca="1" si="15">IF(N40="Unbilled",SUMIFS(O$17:O$23,N$17:N$23,N40),SUMIFS(R$34:R$39,N$34:N$39,N40)*Q40)</f>
        <v>45461.729767144985</v>
      </c>
      <c r="Q40" s="140">
        <f t="shared" ref="Q40:Q46" si="16">SUMIFS(O$5:O$10,N$5:N$10,N40)</f>
        <v>12</v>
      </c>
      <c r="T40" s="140"/>
      <c r="U40" s="140"/>
      <c r="V40" s="140"/>
    </row>
    <row r="41" spans="1:22">
      <c r="A41" s="327">
        <v>50</v>
      </c>
      <c r="B41" s="141">
        <v>500</v>
      </c>
      <c r="C41" s="292">
        <f t="shared" si="3"/>
        <v>25000</v>
      </c>
      <c r="D41" s="393">
        <f t="shared" si="4"/>
        <v>1870.999</v>
      </c>
      <c r="E41" s="141">
        <f t="shared" ca="1" si="5"/>
        <v>2053.8755700000002</v>
      </c>
      <c r="F41" s="141">
        <f t="shared" ca="1" si="6"/>
        <v>182.87657000000013</v>
      </c>
      <c r="G41" s="529">
        <f t="shared" ca="1" si="7"/>
        <v>9.7742740642833112</v>
      </c>
      <c r="H41" s="141">
        <f t="shared" ca="1" si="8"/>
        <v>2053.8755700000002</v>
      </c>
      <c r="I41" s="275">
        <f t="shared" ca="1" si="9"/>
        <v>2200.1999299999998</v>
      </c>
      <c r="J41" s="141">
        <f t="shared" ca="1" si="10"/>
        <v>146.32435999999961</v>
      </c>
      <c r="K41" s="512">
        <f t="shared" ca="1" si="11"/>
        <v>7.1243050035401909</v>
      </c>
      <c r="L41" s="102" t="s">
        <v>505</v>
      </c>
      <c r="M41" s="102" t="s">
        <v>29</v>
      </c>
      <c r="N41" s="100" t="s">
        <v>281</v>
      </c>
      <c r="O41" s="217">
        <f t="shared" ca="1" si="14"/>
        <v>1340689.32</v>
      </c>
      <c r="P41" s="140">
        <f t="shared" ca="1" si="15"/>
        <v>1400505.9321465688</v>
      </c>
      <c r="Q41" s="140">
        <f t="shared" si="16"/>
        <v>827586</v>
      </c>
      <c r="T41" s="140"/>
      <c r="U41" s="140"/>
      <c r="V41" s="140"/>
    </row>
    <row r="42" spans="1:22">
      <c r="A42" s="327">
        <v>50</v>
      </c>
      <c r="B42" s="141">
        <v>700</v>
      </c>
      <c r="C42" s="292">
        <f t="shared" si="3"/>
        <v>35000</v>
      </c>
      <c r="D42" s="393">
        <f t="shared" si="4"/>
        <v>2434.3990000000003</v>
      </c>
      <c r="E42" s="141">
        <f t="shared" ca="1" si="5"/>
        <v>2654.9755700000001</v>
      </c>
      <c r="F42" s="141">
        <f t="shared" ca="1" si="6"/>
        <v>220.57656999999972</v>
      </c>
      <c r="G42" s="529">
        <f t="shared" ca="1" si="7"/>
        <v>9.0608224042155658</v>
      </c>
      <c r="H42" s="141">
        <f t="shared" ca="1" si="8"/>
        <v>2654.9755700000001</v>
      </c>
      <c r="I42" s="275">
        <f t="shared" ca="1" si="9"/>
        <v>2827.7999300000001</v>
      </c>
      <c r="J42" s="141">
        <f t="shared" ca="1" si="10"/>
        <v>172.82436000000007</v>
      </c>
      <c r="K42" s="512">
        <f t="shared" ca="1" si="11"/>
        <v>6.5094519871608485</v>
      </c>
      <c r="L42" s="102" t="s">
        <v>505</v>
      </c>
      <c r="M42" s="102" t="s">
        <v>29</v>
      </c>
      <c r="N42" s="100" t="s">
        <v>202</v>
      </c>
      <c r="O42" s="217">
        <f t="shared" ca="1" si="14"/>
        <v>7604071.29</v>
      </c>
      <c r="P42" s="140">
        <f t="shared" ca="1" si="15"/>
        <v>7944034.0586023256</v>
      </c>
      <c r="Q42" s="140">
        <f t="shared" si="16"/>
        <v>815013</v>
      </c>
      <c r="T42" s="140"/>
      <c r="U42" s="140"/>
      <c r="V42" s="140"/>
    </row>
    <row r="43" spans="1:22">
      <c r="A43" s="327">
        <v>60</v>
      </c>
      <c r="B43" s="327">
        <v>300</v>
      </c>
      <c r="C43" s="292">
        <f t="shared" si="3"/>
        <v>18000</v>
      </c>
      <c r="D43" s="393">
        <f t="shared" si="4"/>
        <v>1568.519</v>
      </c>
      <c r="E43" s="141">
        <f t="shared" ca="1" si="5"/>
        <v>1742.6055700000002</v>
      </c>
      <c r="F43" s="141">
        <f t="shared" ca="1" si="6"/>
        <v>174.08657000000017</v>
      </c>
      <c r="G43" s="529">
        <f t="shared" ca="1" si="7"/>
        <v>11.098786179829519</v>
      </c>
      <c r="H43" s="141">
        <f t="shared" ca="1" si="8"/>
        <v>1742.6055700000002</v>
      </c>
      <c r="I43" s="275">
        <f t="shared" ca="1" si="9"/>
        <v>1886.2799299999997</v>
      </c>
      <c r="J43" s="141">
        <f t="shared" ca="1" si="10"/>
        <v>143.67435999999952</v>
      </c>
      <c r="K43" s="512">
        <f t="shared" ca="1" si="11"/>
        <v>8.2448009161361462</v>
      </c>
      <c r="L43" s="102" t="s">
        <v>505</v>
      </c>
      <c r="M43" s="102" t="s">
        <v>29</v>
      </c>
      <c r="N43" s="100" t="s">
        <v>207</v>
      </c>
      <c r="O43" s="217">
        <f t="shared" ca="1" si="14"/>
        <v>13830919.168186981</v>
      </c>
      <c r="P43" s="140">
        <f t="shared" ca="1" si="15"/>
        <v>14399360.924124885</v>
      </c>
      <c r="Q43" s="140">
        <f t="shared" si="16"/>
        <v>210164400.0636223</v>
      </c>
      <c r="T43" s="140"/>
      <c r="U43" s="140"/>
      <c r="V43" s="140"/>
    </row>
    <row r="44" spans="1:22">
      <c r="A44" s="327">
        <v>60</v>
      </c>
      <c r="B44" s="141">
        <v>500</v>
      </c>
      <c r="C44" s="292">
        <f t="shared" si="3"/>
        <v>30000</v>
      </c>
      <c r="D44" s="393">
        <f t="shared" si="4"/>
        <v>2244.5990000000002</v>
      </c>
      <c r="E44" s="141">
        <f t="shared" ca="1" si="5"/>
        <v>2463.9255699999999</v>
      </c>
      <c r="F44" s="141">
        <f t="shared" ca="1" si="6"/>
        <v>219.32656999999972</v>
      </c>
      <c r="G44" s="529">
        <f t="shared" ca="1" si="7"/>
        <v>9.7713030256183711</v>
      </c>
      <c r="H44" s="141">
        <f t="shared" ca="1" si="8"/>
        <v>2463.9255699999999</v>
      </c>
      <c r="I44" s="275">
        <f t="shared" ca="1" si="9"/>
        <v>2639.39993</v>
      </c>
      <c r="J44" s="141">
        <f t="shared" ca="1" si="10"/>
        <v>175.47436000000016</v>
      </c>
      <c r="K44" s="512">
        <f t="shared" ca="1" si="11"/>
        <v>7.1217394768950006</v>
      </c>
      <c r="L44" s="102" t="s">
        <v>505</v>
      </c>
      <c r="M44" s="102" t="s">
        <v>29</v>
      </c>
      <c r="N44" s="100" t="s">
        <v>208</v>
      </c>
      <c r="O44" s="217">
        <f t="shared" ca="1" si="14"/>
        <v>18642127.68</v>
      </c>
      <c r="P44" s="140">
        <f t="shared" ca="1" si="15"/>
        <v>19534873.057231355</v>
      </c>
      <c r="Q44" s="140">
        <f t="shared" si="16"/>
        <v>330066000</v>
      </c>
      <c r="T44" s="140"/>
      <c r="U44" s="140"/>
      <c r="V44" s="140"/>
    </row>
    <row r="45" spans="1:22">
      <c r="A45" s="310">
        <v>60</v>
      </c>
      <c r="B45" s="142">
        <v>700</v>
      </c>
      <c r="C45" s="283">
        <f t="shared" si="3"/>
        <v>42000</v>
      </c>
      <c r="D45" s="394">
        <f t="shared" si="4"/>
        <v>2920.6790000000001</v>
      </c>
      <c r="E45" s="142">
        <f t="shared" ca="1" si="5"/>
        <v>3185.24557</v>
      </c>
      <c r="F45" s="142">
        <f t="shared" ca="1" si="6"/>
        <v>264.56656999999996</v>
      </c>
      <c r="G45" s="530">
        <f t="shared" ca="1" si="7"/>
        <v>9.0583925861075443</v>
      </c>
      <c r="H45" s="142">
        <f t="shared" ca="1" si="8"/>
        <v>3185.24557</v>
      </c>
      <c r="I45" s="321">
        <f t="shared" ca="1" si="9"/>
        <v>3392.5199299999999</v>
      </c>
      <c r="J45" s="142">
        <f t="shared" ca="1" si="10"/>
        <v>207.27435999999989</v>
      </c>
      <c r="K45" s="513">
        <f t="shared" ca="1" si="11"/>
        <v>6.5073274711437676</v>
      </c>
      <c r="L45" s="102" t="s">
        <v>505</v>
      </c>
      <c r="M45" s="102" t="s">
        <v>29</v>
      </c>
      <c r="N45" s="100" t="s">
        <v>201</v>
      </c>
      <c r="O45" s="217">
        <f t="shared" si="14"/>
        <v>12104.669999999998</v>
      </c>
      <c r="P45" s="140">
        <f t="shared" si="15"/>
        <v>12561.45</v>
      </c>
      <c r="Q45" s="140">
        <f t="shared" si="16"/>
        <v>22838.999999999996</v>
      </c>
      <c r="T45" s="140"/>
      <c r="U45" s="140"/>
      <c r="V45" s="140"/>
    </row>
    <row r="46" spans="1:22">
      <c r="A46" s="338" t="s">
        <v>510</v>
      </c>
      <c r="B46" s="354"/>
      <c r="C46" s="354"/>
      <c r="D46" s="354"/>
      <c r="E46" s="354"/>
      <c r="F46" s="354"/>
      <c r="G46" s="354"/>
      <c r="H46" s="354"/>
      <c r="I46" s="354"/>
      <c r="J46" s="354"/>
      <c r="K46" s="321"/>
      <c r="L46" s="150" t="s">
        <v>505</v>
      </c>
      <c r="M46" s="150" t="s">
        <v>29</v>
      </c>
      <c r="N46" s="152" t="s">
        <v>168</v>
      </c>
      <c r="O46" s="218">
        <f t="shared" si="14"/>
        <v>730955.31297389569</v>
      </c>
      <c r="P46" s="140">
        <f t="shared" si="15"/>
        <v>730955.31297389569</v>
      </c>
      <c r="Q46" s="140">
        <f t="shared" si="16"/>
        <v>0</v>
      </c>
      <c r="T46" s="140"/>
      <c r="U46" s="140"/>
      <c r="V46" s="140"/>
    </row>
    <row r="47" spans="1:22">
      <c r="L47" s="309" t="s">
        <v>540</v>
      </c>
      <c r="M47" s="145" t="s">
        <v>29</v>
      </c>
      <c r="N47" s="219" t="s">
        <v>195</v>
      </c>
      <c r="O47" s="219">
        <f ca="1">'Cost of Service and Proposed $'!Y123</f>
        <v>91670.700245738844</v>
      </c>
      <c r="P47" s="1"/>
      <c r="Q47" s="140"/>
      <c r="T47" s="140"/>
      <c r="U47" s="140"/>
      <c r="V47" s="140"/>
    </row>
    <row r="48" spans="1:22">
      <c r="L48" s="327" t="s">
        <v>541</v>
      </c>
      <c r="M48" s="102" t="s">
        <v>29</v>
      </c>
      <c r="N48" s="215" t="s">
        <v>195</v>
      </c>
      <c r="O48" s="215">
        <f ca="1">'Cost of Service and Proposed $'!Y124</f>
        <v>12771556.334647603</v>
      </c>
      <c r="P48" s="1"/>
      <c r="Q48" s="140"/>
      <c r="T48" s="140"/>
      <c r="U48" s="140"/>
      <c r="V48" s="140"/>
    </row>
    <row r="49" spans="12:22">
      <c r="L49" s="327" t="s">
        <v>542</v>
      </c>
      <c r="M49" s="102" t="s">
        <v>29</v>
      </c>
      <c r="N49" s="215" t="s">
        <v>195</v>
      </c>
      <c r="O49" s="215">
        <f ca="1">'Cost of Service and Proposed $'!Y125</f>
        <v>5001130.4780246047</v>
      </c>
      <c r="P49" s="1"/>
      <c r="Q49" s="140"/>
      <c r="T49" s="140"/>
      <c r="U49" s="140"/>
      <c r="V49" s="140"/>
    </row>
    <row r="50" spans="12:22">
      <c r="L50" s="310" t="s">
        <v>543</v>
      </c>
      <c r="M50" s="150" t="s">
        <v>29</v>
      </c>
      <c r="N50" s="216" t="s">
        <v>195</v>
      </c>
      <c r="O50" s="216">
        <f ca="1">'Cost of Service and Proposed $'!Y126</f>
        <v>29054830.044715311</v>
      </c>
      <c r="P50" s="1"/>
      <c r="Q50" s="140"/>
      <c r="T50" s="140"/>
      <c r="U50" s="140"/>
      <c r="V50" s="140"/>
    </row>
    <row r="51" spans="12:22">
      <c r="L51" s="396" t="s">
        <v>535</v>
      </c>
      <c r="M51" s="145" t="s">
        <v>29</v>
      </c>
      <c r="N51" s="145" t="s">
        <v>335</v>
      </c>
      <c r="O51" s="268">
        <f ca="1">(P51*(Q51-R51)+100*R51)/100</f>
        <v>52630.726959481311</v>
      </c>
      <c r="P51" s="236">
        <f>$P$28</f>
        <v>10</v>
      </c>
      <c r="Q51" s="140">
        <f ca="1">O47*(1-SUM(Q55:Q56)/SUM(O47:O50))</f>
        <v>90218.909784104515</v>
      </c>
      <c r="R51" s="140" cm="1">
        <f t="array" aca="1" ref="R51" ca="1">SUMIFS(O$40:O$46,N$40:N$46,"Bill")/SUM(SUMIFS(O$40:O$46,N$40:N$46,{"Bill","Load Size kW","kW","kWh*"}))*(SUM(O$47:O$50)-SUM(R$55:R$56))</f>
        <v>48454.262201189842</v>
      </c>
      <c r="T51" s="140"/>
      <c r="U51" s="140"/>
      <c r="V51" s="140"/>
    </row>
    <row r="52" spans="12:22">
      <c r="L52" s="395" t="s">
        <v>535</v>
      </c>
      <c r="M52" s="102" t="s">
        <v>29</v>
      </c>
      <c r="N52" s="100" t="s">
        <v>281</v>
      </c>
      <c r="O52" s="141">
        <f t="shared" ref="O52:O56" ca="1" si="17">(P52*(Q52-R52)+100*R52)/100</f>
        <v>2600761.684876021</v>
      </c>
      <c r="P52" s="236">
        <f t="shared" ref="P52:P56" si="18">$P$28</f>
        <v>10</v>
      </c>
      <c r="Q52" s="140">
        <f ca="1">O48*(1-SUM(Q55:Q56)/SUM(O47:O50))</f>
        <v>12569292.976593582</v>
      </c>
      <c r="R52" s="140" cm="1">
        <f t="array" aca="1" ref="R52" ca="1">SUMIFS(O$40:O$46,N$40:N$46,"Load Size kW")/SUM(SUMIFS(O$40:O$46,N$40:N$46,{"Bill","Load Size kW","kW","kWh*"}))*(SUM(O$47:O$50)-SUM(R$55:R$56))</f>
        <v>1493147.0969074036</v>
      </c>
      <c r="T52" s="140"/>
      <c r="U52" s="140"/>
      <c r="V52" s="140"/>
    </row>
    <row r="53" spans="12:22">
      <c r="L53" s="395" t="s">
        <v>535</v>
      </c>
      <c r="M53" s="102" t="s">
        <v>29</v>
      </c>
      <c r="N53" s="100" t="s">
        <v>202</v>
      </c>
      <c r="O53" s="141">
        <f t="shared" ca="1" si="17"/>
        <v>8114090.7693293141</v>
      </c>
      <c r="P53" s="236">
        <f t="shared" si="18"/>
        <v>10</v>
      </c>
      <c r="Q53" s="140">
        <f ca="1">O49*(1-SUM(Q55:Q56)/SUM(O47:O50))</f>
        <v>4921927.4883460971</v>
      </c>
      <c r="R53" s="140" cm="1">
        <f t="array" aca="1" ref="R53" ca="1">SUMIFS(O$40:O$46,N$40:N$46,"kW")/SUM(SUMIFS(O$40:O$46,N$40:N$46,{"Bill","Load Size kW","kW","kWh*"}))*(SUM(O$47:O$50)-SUM(R$55:R$56))</f>
        <v>8468775.578327449</v>
      </c>
      <c r="T53" s="140"/>
      <c r="U53" s="140"/>
      <c r="V53" s="140"/>
    </row>
    <row r="54" spans="12:22">
      <c r="L54" s="395" t="s">
        <v>535</v>
      </c>
      <c r="M54" s="102" t="s">
        <v>29</v>
      </c>
      <c r="N54" s="100" t="s">
        <v>6</v>
      </c>
      <c r="O54" s="141">
        <f t="shared" ca="1" si="17"/>
        <v>35408644.393494546</v>
      </c>
      <c r="P54" s="236">
        <f t="shared" si="18"/>
        <v>10</v>
      </c>
      <c r="Q54" s="140">
        <f ca="1">O50*(1-SUM(Q55:Q56)/SUM(O47:O50))</f>
        <v>28594688.199935582</v>
      </c>
      <c r="R54" s="140" cm="1">
        <f t="array" aca="1" ref="R54" ca="1">SUMIFS(O$40:O$46,N$40:N$46,"kWh*")/SUM(SUMIFS(O$40:O$46,N$40:N$46,{"Bill","Load Size kW","kW","kWh*"}))*(SUM(O$47:O$50)-SUM(R$55:R$56))</f>
        <v>36165750.637223318</v>
      </c>
      <c r="T54" s="140"/>
      <c r="U54" s="140"/>
      <c r="V54" s="140"/>
    </row>
    <row r="55" spans="12:22">
      <c r="L55" s="395" t="s">
        <v>535</v>
      </c>
      <c r="M55" s="102" t="s">
        <v>29</v>
      </c>
      <c r="N55" s="100" t="s">
        <v>201</v>
      </c>
      <c r="O55" s="141">
        <f t="shared" si="17"/>
        <v>12104.669999999998</v>
      </c>
      <c r="P55" s="236">
        <f t="shared" si="18"/>
        <v>10</v>
      </c>
      <c r="Q55" s="140">
        <f>O45</f>
        <v>12104.669999999998</v>
      </c>
      <c r="R55" s="140">
        <f>O45</f>
        <v>12104.669999999998</v>
      </c>
      <c r="T55" s="140"/>
      <c r="U55" s="140"/>
      <c r="V55" s="140"/>
    </row>
    <row r="56" spans="12:22">
      <c r="L56" s="397" t="s">
        <v>535</v>
      </c>
      <c r="M56" s="150" t="s">
        <v>29</v>
      </c>
      <c r="N56" s="152" t="s">
        <v>168</v>
      </c>
      <c r="O56" s="142">
        <f t="shared" si="17"/>
        <v>730955.31297389569</v>
      </c>
      <c r="P56" s="236">
        <f t="shared" si="18"/>
        <v>10</v>
      </c>
      <c r="Q56" s="4">
        <f>O46</f>
        <v>730955.31297389569</v>
      </c>
      <c r="R56" s="140">
        <f>O46</f>
        <v>730955.31297389569</v>
      </c>
    </row>
    <row r="57" spans="12:22">
      <c r="L57" s="145" t="s">
        <v>506</v>
      </c>
      <c r="M57" s="145" t="s">
        <v>403</v>
      </c>
      <c r="N57" s="145" t="s">
        <v>335</v>
      </c>
      <c r="O57" s="323">
        <f ca="1">ROUND(P57/100*S57/T57+U57,Q57)</f>
        <v>4199.93</v>
      </c>
      <c r="P57" s="236">
        <f>100+Summary!$R$12</f>
        <v>95.76</v>
      </c>
      <c r="Q57" s="140">
        <v>2</v>
      </c>
      <c r="R57" s="311">
        <f ca="1">S57/T57+U57</f>
        <v>4385.8939132901096</v>
      </c>
      <c r="S57" s="140">
        <f ca="1">SUMIFS(O$51:O$56,N$51:N$56,N57)</f>
        <v>52630.726959481311</v>
      </c>
      <c r="T57" s="140">
        <f>SUMIFS(O$5:O$10,N$5:N$10,N57)</f>
        <v>12</v>
      </c>
    </row>
    <row r="58" spans="12:22">
      <c r="L58" s="102" t="s">
        <v>506</v>
      </c>
      <c r="M58" s="102" t="s">
        <v>403</v>
      </c>
      <c r="N58" s="100" t="s">
        <v>281</v>
      </c>
      <c r="O58" s="324">
        <f t="shared" ref="O58:O62" ca="1" si="19">ROUND(P58/100*S58/T58+U58,Q58)</f>
        <v>3.01</v>
      </c>
      <c r="P58" s="236">
        <f>100+Summary!$R$12</f>
        <v>95.76</v>
      </c>
      <c r="Q58" s="140">
        <v>2</v>
      </c>
      <c r="R58" s="311">
        <f t="shared" ref="R58:R62" ca="1" si="20">S58/T58+U58</f>
        <v>3.1425878215388141</v>
      </c>
      <c r="S58" s="140">
        <f t="shared" ref="S58:S62" ca="1" si="21">SUMIFS(O$51:O$56,N$51:N$56,N58)</f>
        <v>2600761.684876021</v>
      </c>
      <c r="T58" s="140">
        <f>SUMIFS(O$5:O$10,N$5:N$10,N58)</f>
        <v>827586</v>
      </c>
    </row>
    <row r="59" spans="12:22">
      <c r="L59" s="102" t="s">
        <v>506</v>
      </c>
      <c r="M59" s="102" t="s">
        <v>403</v>
      </c>
      <c r="N59" s="100" t="s">
        <v>202</v>
      </c>
      <c r="O59" s="324">
        <f t="shared" ca="1" si="19"/>
        <v>9.5299999999999994</v>
      </c>
      <c r="P59" s="236">
        <f>100+Summary!$R$12</f>
        <v>95.76</v>
      </c>
      <c r="Q59" s="140">
        <v>2</v>
      </c>
      <c r="R59" s="311">
        <f t="shared" ca="1" si="20"/>
        <v>9.955780790403729</v>
      </c>
      <c r="S59" s="140">
        <f t="shared" ca="1" si="21"/>
        <v>8114090.7693293141</v>
      </c>
      <c r="T59" s="140">
        <f>SUMIFS(O$5:O$10,N$5:N$10,N59)</f>
        <v>815013</v>
      </c>
    </row>
    <row r="60" spans="12:22">
      <c r="L60" s="102" t="s">
        <v>506</v>
      </c>
      <c r="M60" s="102" t="s">
        <v>403</v>
      </c>
      <c r="N60" s="100" t="s">
        <v>207</v>
      </c>
      <c r="O60" s="324">
        <f t="shared" ca="1" si="19"/>
        <v>6.8459999999999993E-2</v>
      </c>
      <c r="P60" s="236">
        <f>100+Summary!$R$12</f>
        <v>95.76</v>
      </c>
      <c r="Q60" s="140">
        <v>5</v>
      </c>
      <c r="R60" s="311">
        <f t="shared" ca="1" si="20"/>
        <v>7.1243973254674006E-2</v>
      </c>
      <c r="S60" s="140">
        <f ca="1">SUMIFS(O$51:O$56,N$51:N$56,"kWh")</f>
        <v>35408644.393494546</v>
      </c>
      <c r="T60" s="140">
        <f>SUMIFS(O$5:O$10,N$5:N$10,"kWh*")</f>
        <v>540230400.06362224</v>
      </c>
      <c r="U60" s="311">
        <f ca="1">O9/(O8+O9)*(O37-O38)</f>
        <v>5.7003748393969064E-3</v>
      </c>
    </row>
    <row r="61" spans="12:22">
      <c r="L61" s="102" t="s">
        <v>506</v>
      </c>
      <c r="M61" s="102" t="s">
        <v>403</v>
      </c>
      <c r="N61" s="100" t="s">
        <v>208</v>
      </c>
      <c r="O61" s="324">
        <f t="shared" ca="1" si="19"/>
        <v>5.9130000000000002E-2</v>
      </c>
      <c r="P61" s="236">
        <f>100+Summary!$R$12</f>
        <v>95.76</v>
      </c>
      <c r="Q61" s="140">
        <v>5</v>
      </c>
      <c r="R61" s="311">
        <f t="shared" ca="1" si="20"/>
        <v>6.1913973254674015E-2</v>
      </c>
      <c r="S61" s="140">
        <f ca="1">SUMIFS(O$51:O$56,N$51:N$56,"kWh")</f>
        <v>35408644.393494546</v>
      </c>
      <c r="T61" s="140">
        <f>SUMIFS(O$5:O$10,N$5:N$10,"kWh*")</f>
        <v>540230400.06362224</v>
      </c>
      <c r="U61" s="311">
        <f ca="1">O8/(O8+O9)*(O38-O37)</f>
        <v>-3.629625160603086E-3</v>
      </c>
      <c r="V61" s="311">
        <f ca="1">ROUND(P61/100*S61/T61,Q61)</f>
        <v>6.2759999999999996E-2</v>
      </c>
    </row>
    <row r="62" spans="12:22">
      <c r="L62" s="150" t="s">
        <v>506</v>
      </c>
      <c r="M62" s="150" t="s">
        <v>403</v>
      </c>
      <c r="N62" s="152" t="s">
        <v>201</v>
      </c>
      <c r="O62" s="325">
        <f t="shared" si="19"/>
        <v>0.51</v>
      </c>
      <c r="P62" s="236">
        <f>100+Summary!$R$12</f>
        <v>95.76</v>
      </c>
      <c r="Q62" s="140">
        <v>2</v>
      </c>
      <c r="R62" s="311">
        <f t="shared" si="20"/>
        <v>0.53</v>
      </c>
      <c r="S62" s="140">
        <f t="shared" si="21"/>
        <v>12104.669999999998</v>
      </c>
      <c r="T62" s="140">
        <f>SUMIFS(O$5:O$10,N$5:N$10,N62)</f>
        <v>22838.999999999996</v>
      </c>
    </row>
    <row r="63" spans="12:22">
      <c r="L63" s="145" t="s">
        <v>506</v>
      </c>
      <c r="M63" s="145" t="s">
        <v>29</v>
      </c>
      <c r="N63" s="145" t="s">
        <v>335</v>
      </c>
      <c r="O63" s="220">
        <f t="shared" ref="O63:O69" ca="1" si="22">IF(N63="Unbilled",SUMIFS(O$40:O$46,N$40:N$46,N63),SUMIFS(O$57:O$62,N$57:N$62,N63)*Q63)</f>
        <v>50399.16</v>
      </c>
      <c r="P63" s="140">
        <f t="shared" ref="P63:P69" ca="1" si="23">IF(N63="Unbilled",SUMIFS(O$40:O$46,N$40:N$46,N63),SUMIFS(R$57:R$62,N$57:N$62,N63)*Q63)</f>
        <v>52630.726959481311</v>
      </c>
      <c r="Q63" s="140">
        <f t="shared" ref="Q63:Q69" si="24">SUMIFS(O$5:O$10,N$5:N$10,N63)</f>
        <v>12</v>
      </c>
      <c r="T63" s="140"/>
    </row>
    <row r="64" spans="12:22">
      <c r="L64" s="102" t="s">
        <v>506</v>
      </c>
      <c r="M64" s="102" t="s">
        <v>29</v>
      </c>
      <c r="N64" s="100" t="s">
        <v>281</v>
      </c>
      <c r="O64" s="217">
        <f t="shared" ca="1" si="22"/>
        <v>2491033.86</v>
      </c>
      <c r="P64" s="140">
        <f t="shared" ca="1" si="23"/>
        <v>2600761.684876021</v>
      </c>
      <c r="Q64" s="140">
        <f t="shared" si="24"/>
        <v>827586</v>
      </c>
      <c r="T64" s="140"/>
    </row>
    <row r="65" spans="12:20">
      <c r="L65" s="102" t="s">
        <v>506</v>
      </c>
      <c r="M65" s="102" t="s">
        <v>29</v>
      </c>
      <c r="N65" s="100" t="s">
        <v>202</v>
      </c>
      <c r="O65" s="217">
        <f t="shared" ca="1" si="22"/>
        <v>7767073.8899999997</v>
      </c>
      <c r="P65" s="140">
        <f t="shared" ca="1" si="23"/>
        <v>8114090.7693293141</v>
      </c>
      <c r="Q65" s="140">
        <f t="shared" si="24"/>
        <v>815013</v>
      </c>
      <c r="T65" s="140"/>
    </row>
    <row r="66" spans="12:20">
      <c r="L66" s="102" t="s">
        <v>506</v>
      </c>
      <c r="M66" s="102" t="s">
        <v>29</v>
      </c>
      <c r="N66" s="100" t="s">
        <v>207</v>
      </c>
      <c r="O66" s="217">
        <f t="shared" ca="1" si="22"/>
        <v>14387854.828355581</v>
      </c>
      <c r="P66" s="140">
        <f t="shared" ca="1" si="23"/>
        <v>14972946.897217315</v>
      </c>
      <c r="Q66" s="140">
        <f t="shared" si="24"/>
        <v>210164400.0636223</v>
      </c>
      <c r="T66" s="140"/>
    </row>
    <row r="67" spans="12:20">
      <c r="L67" s="102" t="s">
        <v>506</v>
      </c>
      <c r="M67" s="102" t="s">
        <v>29</v>
      </c>
      <c r="N67" s="100" t="s">
        <v>208</v>
      </c>
      <c r="O67" s="217">
        <f t="shared" ca="1" si="22"/>
        <v>19516802.580000002</v>
      </c>
      <c r="P67" s="140">
        <f t="shared" ca="1" si="23"/>
        <v>20435697.496277232</v>
      </c>
      <c r="Q67" s="140">
        <f t="shared" si="24"/>
        <v>330066000</v>
      </c>
      <c r="T67" s="140"/>
    </row>
    <row r="68" spans="12:20">
      <c r="L68" s="102" t="s">
        <v>506</v>
      </c>
      <c r="M68" s="102" t="s">
        <v>29</v>
      </c>
      <c r="N68" s="100" t="s">
        <v>201</v>
      </c>
      <c r="O68" s="217">
        <f t="shared" si="22"/>
        <v>11647.889999999998</v>
      </c>
      <c r="P68" s="140">
        <f t="shared" si="23"/>
        <v>12104.669999999998</v>
      </c>
      <c r="Q68" s="140">
        <f t="shared" si="24"/>
        <v>22838.999999999996</v>
      </c>
      <c r="T68" s="140"/>
    </row>
    <row r="69" spans="12:20">
      <c r="L69" s="150" t="s">
        <v>506</v>
      </c>
      <c r="M69" s="150" t="s">
        <v>29</v>
      </c>
      <c r="N69" s="152" t="s">
        <v>168</v>
      </c>
      <c r="O69" s="218">
        <f t="shared" si="22"/>
        <v>730955.31297389569</v>
      </c>
      <c r="P69" s="140">
        <f t="shared" si="23"/>
        <v>730955.31297389569</v>
      </c>
      <c r="Q69" s="140">
        <f t="shared" si="24"/>
        <v>0</v>
      </c>
      <c r="T69" s="140"/>
    </row>
    <row r="71" spans="12:20">
      <c r="O71" s="561" t="s">
        <v>215</v>
      </c>
      <c r="P71" s="441"/>
    </row>
    <row r="72" spans="12:20">
      <c r="O72" s="562" t="s">
        <v>501</v>
      </c>
      <c r="P72" s="560">
        <f ca="1">SUM(P40:P46)-SUM(O24:O27)</f>
        <v>0</v>
      </c>
    </row>
    <row r="73" spans="12:20">
      <c r="O73" s="563" t="s">
        <v>503</v>
      </c>
      <c r="P73" s="548">
        <f ca="1">SUM(P63:P69)-SUM(O47:O50)</f>
        <v>0</v>
      </c>
    </row>
  </sheetData>
  <printOptions horizontalCentered="1"/>
  <pageMargins left="0.2" right="0.2" top="0.2" bottom="0.2" header="0" footer="0"/>
  <pageSetup fitToHeight="0" orientation="landscape" r:id="rId1"/>
  <rowBreaks count="2" manualBreakCount="2">
    <brk id="23" min="11" max="14" man="1"/>
    <brk id="46" min="1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9F208-0E0E-45DF-8D55-29F390C1E793}">
  <sheetPr>
    <pageSetUpPr fitToPage="1"/>
  </sheetPr>
  <dimension ref="A1:H55"/>
  <sheetViews>
    <sheetView showGridLines="0" view="pageBreakPreview" zoomScale="70" zoomScaleNormal="70" zoomScaleSheetLayoutView="70" workbookViewId="0">
      <pane ySplit="4" topLeftCell="A5" activePane="bottomLeft" state="frozen"/>
      <selection activeCell="G59" sqref="G59"/>
      <selection pane="bottomLeft" activeCell="A5" sqref="A5"/>
    </sheetView>
  </sheetViews>
  <sheetFormatPr defaultRowHeight="15.75"/>
  <cols>
    <col min="1" max="1" width="26.375" style="157" bestFit="1" customWidth="1"/>
    <col min="2" max="2" width="7.125" style="157" bestFit="1" customWidth="1"/>
    <col min="3" max="5" width="15.125" style="157" customWidth="1"/>
    <col min="6" max="6" width="13.375" style="158" customWidth="1"/>
    <col min="7" max="7" width="13.375" style="311" bestFit="1" customWidth="1"/>
    <col min="8" max="8" width="13.375" style="1" customWidth="1"/>
    <col min="9" max="16384" width="9" style="1"/>
  </cols>
  <sheetData>
    <row r="1" spans="1:7">
      <c r="A1" s="261" t="s">
        <v>252</v>
      </c>
      <c r="B1" s="252"/>
      <c r="C1" s="252"/>
      <c r="D1" s="252"/>
      <c r="E1" s="252"/>
      <c r="F1" s="254"/>
    </row>
    <row r="2" spans="1:7">
      <c r="A2" s="276" t="s">
        <v>485</v>
      </c>
      <c r="B2" s="255"/>
      <c r="C2" s="255"/>
      <c r="D2" s="255"/>
      <c r="E2" s="255"/>
      <c r="F2" s="271"/>
    </row>
    <row r="3" spans="1:7" s="159" customFormat="1">
      <c r="A3" s="256" t="s">
        <v>407</v>
      </c>
      <c r="B3" s="257"/>
      <c r="C3" s="257"/>
      <c r="D3" s="258"/>
      <c r="E3" s="259"/>
      <c r="F3" s="260"/>
      <c r="G3" s="278"/>
    </row>
    <row r="4" spans="1:7" s="159" customFormat="1">
      <c r="A4" s="233"/>
      <c r="B4" s="233"/>
      <c r="C4" s="233" t="s">
        <v>178</v>
      </c>
      <c r="D4" s="234" t="s">
        <v>194</v>
      </c>
      <c r="E4" s="234" t="s">
        <v>401</v>
      </c>
      <c r="F4" s="235" t="s">
        <v>206</v>
      </c>
      <c r="G4" s="278"/>
    </row>
    <row r="5" spans="1:7" s="159" customFormat="1">
      <c r="A5" s="262" t="s">
        <v>217</v>
      </c>
      <c r="B5" s="145" t="s">
        <v>402</v>
      </c>
      <c r="C5" s="145" t="s">
        <v>176</v>
      </c>
      <c r="D5" s="144" t="s">
        <v>203</v>
      </c>
      <c r="E5" s="144" t="s">
        <v>335</v>
      </c>
      <c r="F5" s="144">
        <f>SUMIFS('Normalized Units'!I:I,'Normalized Units'!B:B,"Normalized Billing Units",'Normalized Units'!C:C,A$1,'Normalized Units'!G:G,D5,'Normalized Units'!H:H,E5)</f>
        <v>12</v>
      </c>
      <c r="G5" s="278"/>
    </row>
    <row r="6" spans="1:7" s="159" customFormat="1">
      <c r="A6" s="237" t="s">
        <v>217</v>
      </c>
      <c r="B6" s="102" t="s">
        <v>402</v>
      </c>
      <c r="C6" s="102" t="s">
        <v>176</v>
      </c>
      <c r="D6" s="100" t="s">
        <v>203</v>
      </c>
      <c r="E6" s="102" t="s">
        <v>281</v>
      </c>
      <c r="F6" s="100">
        <f>SUMIFS('Normalized Units'!I:I,'Normalized Units'!B:B,"Normalized Billing Units",'Normalized Units'!C:C,A$1,'Normalized Units'!G:G,D6,'Normalized Units'!H:H,E6)</f>
        <v>24249</v>
      </c>
      <c r="G6" s="278"/>
    </row>
    <row r="7" spans="1:7" s="159" customFormat="1">
      <c r="A7" s="237" t="s">
        <v>217</v>
      </c>
      <c r="B7" s="102" t="s">
        <v>402</v>
      </c>
      <c r="C7" s="102" t="s">
        <v>176</v>
      </c>
      <c r="D7" s="100" t="s">
        <v>195</v>
      </c>
      <c r="E7" s="100" t="s">
        <v>202</v>
      </c>
      <c r="F7" s="100">
        <f>SUMIFS('Normalized Units'!I:I,'Normalized Units'!B:B,"Normalized Billing Units",'Normalized Units'!C:C,A$1,'Normalized Units'!G:G,D7,'Normalized Units'!H:H,E7)</f>
        <v>17900</v>
      </c>
      <c r="G7" s="278"/>
    </row>
    <row r="8" spans="1:7" s="159" customFormat="1">
      <c r="A8" s="237" t="s">
        <v>217</v>
      </c>
      <c r="B8" s="102" t="s">
        <v>402</v>
      </c>
      <c r="C8" s="102" t="s">
        <v>176</v>
      </c>
      <c r="D8" s="100" t="s">
        <v>195</v>
      </c>
      <c r="E8" s="100" t="s">
        <v>286</v>
      </c>
      <c r="F8" s="100">
        <f>SUMIFS('Normalized Units'!I:I,'Normalized Units'!B:B,"Normalized Billing Units",'Normalized Units'!C:C,A$1,'Normalized Units'!G:G,D8,'Normalized Units'!H:H,E8)</f>
        <v>6100</v>
      </c>
      <c r="G8" s="278"/>
    </row>
    <row r="9" spans="1:7" s="159" customFormat="1">
      <c r="A9" s="237" t="s">
        <v>217</v>
      </c>
      <c r="B9" s="102" t="s">
        <v>402</v>
      </c>
      <c r="C9" s="102" t="s">
        <v>176</v>
      </c>
      <c r="D9" s="100" t="s">
        <v>195</v>
      </c>
      <c r="E9" s="100" t="s">
        <v>207</v>
      </c>
      <c r="F9" s="100">
        <f>SUMIFS('Normalized Units'!I:I,'Normalized Units'!B:B,"Normalized Billing Units",'Normalized Units'!C:C,A$1,'Normalized Units'!G:G,D9,'Normalized Units'!H:H,E9)</f>
        <v>750000</v>
      </c>
      <c r="G9" s="278"/>
    </row>
    <row r="10" spans="1:7" s="159" customFormat="1">
      <c r="A10" s="263" t="s">
        <v>217</v>
      </c>
      <c r="B10" s="150" t="s">
        <v>402</v>
      </c>
      <c r="C10" s="150" t="s">
        <v>176</v>
      </c>
      <c r="D10" s="152" t="s">
        <v>195</v>
      </c>
      <c r="E10" s="152" t="s">
        <v>208</v>
      </c>
      <c r="F10" s="152">
        <f>SUMIFS('Normalized Units'!I:I,'Normalized Units'!B:B,"Normalized Billing Units",'Normalized Units'!C:C,A$1,'Normalized Units'!G:G,D10,'Normalized Units'!H:H,E10)</f>
        <v>927000</v>
      </c>
      <c r="G10" s="278"/>
    </row>
    <row r="11" spans="1:7" s="140" customFormat="1">
      <c r="A11" s="145" t="s">
        <v>406</v>
      </c>
      <c r="B11" s="145" t="s">
        <v>403</v>
      </c>
      <c r="C11" s="145" t="s">
        <v>176</v>
      </c>
      <c r="D11" s="144" t="s">
        <v>203</v>
      </c>
      <c r="E11" s="145" t="s">
        <v>335</v>
      </c>
      <c r="F11" s="323">
        <v>1313</v>
      </c>
      <c r="G11" s="311"/>
    </row>
    <row r="12" spans="1:7" s="140" customFormat="1">
      <c r="A12" s="102" t="s">
        <v>406</v>
      </c>
      <c r="B12" s="102" t="s">
        <v>403</v>
      </c>
      <c r="C12" s="102" t="s">
        <v>176</v>
      </c>
      <c r="D12" s="100" t="s">
        <v>203</v>
      </c>
      <c r="E12" s="102" t="s">
        <v>281</v>
      </c>
      <c r="F12" s="324">
        <v>1.22</v>
      </c>
      <c r="G12" s="311"/>
    </row>
    <row r="13" spans="1:7" s="140" customFormat="1">
      <c r="A13" s="102" t="s">
        <v>406</v>
      </c>
      <c r="B13" s="102" t="s">
        <v>403</v>
      </c>
      <c r="C13" s="102" t="s">
        <v>176</v>
      </c>
      <c r="D13" s="100" t="s">
        <v>195</v>
      </c>
      <c r="E13" s="100" t="s">
        <v>202</v>
      </c>
      <c r="F13" s="324">
        <v>8.73</v>
      </c>
      <c r="G13" s="311"/>
    </row>
    <row r="14" spans="1:7" s="140" customFormat="1">
      <c r="A14" s="102" t="s">
        <v>406</v>
      </c>
      <c r="B14" s="102" t="s">
        <v>403</v>
      </c>
      <c r="C14" s="102" t="s">
        <v>176</v>
      </c>
      <c r="D14" s="100" t="s">
        <v>195</v>
      </c>
      <c r="E14" s="100" t="s">
        <v>286</v>
      </c>
      <c r="F14" s="324">
        <v>4.37</v>
      </c>
      <c r="G14" s="311"/>
    </row>
    <row r="15" spans="1:7" s="140" customFormat="1">
      <c r="A15" s="102" t="s">
        <v>406</v>
      </c>
      <c r="B15" s="102" t="s">
        <v>403</v>
      </c>
      <c r="C15" s="102" t="s">
        <v>176</v>
      </c>
      <c r="D15" s="100" t="s">
        <v>195</v>
      </c>
      <c r="E15" s="100" t="s">
        <v>207</v>
      </c>
      <c r="F15" s="324">
        <v>6.318E-2</v>
      </c>
      <c r="G15" s="311"/>
    </row>
    <row r="16" spans="1:7" s="140" customFormat="1">
      <c r="A16" s="150" t="s">
        <v>406</v>
      </c>
      <c r="B16" s="150" t="s">
        <v>403</v>
      </c>
      <c r="C16" s="150" t="s">
        <v>176</v>
      </c>
      <c r="D16" s="152" t="s">
        <v>195</v>
      </c>
      <c r="E16" s="152" t="s">
        <v>208</v>
      </c>
      <c r="F16" s="325">
        <v>5.3850000000000002E-2</v>
      </c>
      <c r="G16" s="311"/>
    </row>
    <row r="17" spans="1:8" s="140" customFormat="1">
      <c r="A17" s="145" t="s">
        <v>406</v>
      </c>
      <c r="B17" s="145" t="s">
        <v>29</v>
      </c>
      <c r="C17" s="145" t="s">
        <v>176</v>
      </c>
      <c r="D17" s="146" t="s">
        <v>203</v>
      </c>
      <c r="E17" s="146" t="s">
        <v>335</v>
      </c>
      <c r="F17" s="220">
        <f t="shared" ref="F17:F22" si="0">F5*F11</f>
        <v>15756</v>
      </c>
      <c r="G17" s="311"/>
    </row>
    <row r="18" spans="1:8" s="140" customFormat="1">
      <c r="A18" s="102" t="s">
        <v>406</v>
      </c>
      <c r="B18" s="102" t="s">
        <v>29</v>
      </c>
      <c r="C18" s="102" t="s">
        <v>176</v>
      </c>
      <c r="D18" s="148" t="s">
        <v>203</v>
      </c>
      <c r="E18" s="64" t="s">
        <v>281</v>
      </c>
      <c r="F18" s="217">
        <f t="shared" si="0"/>
        <v>29583.78</v>
      </c>
      <c r="G18" s="311"/>
    </row>
    <row r="19" spans="1:8" s="140" customFormat="1">
      <c r="A19" s="102" t="s">
        <v>406</v>
      </c>
      <c r="B19" s="102" t="s">
        <v>29</v>
      </c>
      <c r="C19" s="102" t="s">
        <v>176</v>
      </c>
      <c r="D19" s="148" t="s">
        <v>195</v>
      </c>
      <c r="E19" s="148" t="s">
        <v>202</v>
      </c>
      <c r="F19" s="217">
        <f t="shared" si="0"/>
        <v>156267</v>
      </c>
      <c r="G19" s="311"/>
    </row>
    <row r="20" spans="1:8" s="140" customFormat="1">
      <c r="A20" s="102" t="s">
        <v>406</v>
      </c>
      <c r="B20" s="102" t="s">
        <v>29</v>
      </c>
      <c r="C20" s="102" t="s">
        <v>176</v>
      </c>
      <c r="D20" s="148" t="s">
        <v>195</v>
      </c>
      <c r="E20" s="148" t="s">
        <v>286</v>
      </c>
      <c r="F20" s="217">
        <f t="shared" si="0"/>
        <v>26657</v>
      </c>
      <c r="G20" s="311"/>
    </row>
    <row r="21" spans="1:8" s="140" customFormat="1">
      <c r="A21" s="102" t="s">
        <v>406</v>
      </c>
      <c r="B21" s="102" t="s">
        <v>29</v>
      </c>
      <c r="C21" s="102" t="s">
        <v>176</v>
      </c>
      <c r="D21" s="148" t="s">
        <v>195</v>
      </c>
      <c r="E21" s="148" t="s">
        <v>207</v>
      </c>
      <c r="F21" s="217">
        <f t="shared" si="0"/>
        <v>47385</v>
      </c>
      <c r="G21" s="311"/>
    </row>
    <row r="22" spans="1:8" s="140" customFormat="1">
      <c r="A22" s="102" t="s">
        <v>406</v>
      </c>
      <c r="B22" s="102" t="s">
        <v>29</v>
      </c>
      <c r="C22" s="102" t="s">
        <v>176</v>
      </c>
      <c r="D22" s="148" t="s">
        <v>195</v>
      </c>
      <c r="E22" s="148" t="s">
        <v>208</v>
      </c>
      <c r="F22" s="217">
        <f t="shared" si="0"/>
        <v>49918.950000000004</v>
      </c>
      <c r="G22" s="311"/>
    </row>
    <row r="23" spans="1:8" s="140" customFormat="1">
      <c r="A23" s="150" t="s">
        <v>406</v>
      </c>
      <c r="B23" s="150" t="s">
        <v>29</v>
      </c>
      <c r="C23" s="150" t="s">
        <v>176</v>
      </c>
      <c r="D23" s="152" t="s">
        <v>195</v>
      </c>
      <c r="E23" s="216" t="s">
        <v>168</v>
      </c>
      <c r="F23" s="218">
        <f>Unbilled!E12</f>
        <v>6272.3581069083993</v>
      </c>
      <c r="G23" s="311"/>
    </row>
    <row r="24" spans="1:8">
      <c r="A24" s="300" t="s">
        <v>532</v>
      </c>
      <c r="B24" s="426" t="s">
        <v>29</v>
      </c>
      <c r="C24" s="233" t="s">
        <v>195</v>
      </c>
      <c r="D24" s="233" t="s">
        <v>195</v>
      </c>
      <c r="E24" s="233" t="s">
        <v>195</v>
      </c>
      <c r="F24" s="233">
        <f ca="1">SUM(G31:G37)</f>
        <v>369089.94290457672</v>
      </c>
      <c r="G24" s="335"/>
      <c r="H24" s="159"/>
    </row>
    <row r="25" spans="1:8">
      <c r="A25" s="219" t="s">
        <v>505</v>
      </c>
      <c r="B25" s="219" t="s">
        <v>403</v>
      </c>
      <c r="C25" s="145" t="s">
        <v>176</v>
      </c>
      <c r="D25" s="146" t="s">
        <v>203</v>
      </c>
      <c r="E25" s="146" t="s">
        <v>335</v>
      </c>
      <c r="F25" s="549">
        <f ca="1">Sch.48T!T92</f>
        <v>1318.25</v>
      </c>
      <c r="G25" s="311">
        <f ca="1">Sch.48T!W92</f>
        <v>1308.887795699148</v>
      </c>
      <c r="H25" s="311"/>
    </row>
    <row r="26" spans="1:8">
      <c r="A26" s="215" t="s">
        <v>505</v>
      </c>
      <c r="B26" s="215" t="s">
        <v>403</v>
      </c>
      <c r="C26" s="102" t="s">
        <v>176</v>
      </c>
      <c r="D26" s="148" t="s">
        <v>203</v>
      </c>
      <c r="E26" s="64" t="s">
        <v>281</v>
      </c>
      <c r="F26" s="351">
        <f ca="1">Sch.48T!T94</f>
        <v>2.34</v>
      </c>
      <c r="G26" s="311">
        <f ca="1">Sch.48T!W94</f>
        <v>2.3200433544941528</v>
      </c>
      <c r="H26" s="311"/>
    </row>
    <row r="27" spans="1:8">
      <c r="A27" s="215" t="s">
        <v>505</v>
      </c>
      <c r="B27" s="215" t="s">
        <v>403</v>
      </c>
      <c r="C27" s="102" t="s">
        <v>176</v>
      </c>
      <c r="D27" s="148" t="s">
        <v>195</v>
      </c>
      <c r="E27" s="148" t="s">
        <v>202</v>
      </c>
      <c r="F27" s="351">
        <f ca="1">Sch.48T!T96</f>
        <v>9</v>
      </c>
      <c r="G27" s="311">
        <f ca="1">Sch.48T!W96</f>
        <v>8.9395577492777605</v>
      </c>
      <c r="H27" s="311"/>
    </row>
    <row r="28" spans="1:8">
      <c r="A28" s="215" t="s">
        <v>505</v>
      </c>
      <c r="B28" s="215" t="s">
        <v>403</v>
      </c>
      <c r="C28" s="102" t="s">
        <v>176</v>
      </c>
      <c r="D28" s="148" t="s">
        <v>195</v>
      </c>
      <c r="E28" s="148" t="s">
        <v>286</v>
      </c>
      <c r="F28" s="351">
        <f ca="1">ROUND(F27/2,2)</f>
        <v>4.5</v>
      </c>
      <c r="G28" s="311">
        <f ca="1">G27/2</f>
        <v>4.4697788746388802</v>
      </c>
      <c r="H28" s="311"/>
    </row>
    <row r="29" spans="1:8">
      <c r="A29" s="215" t="s">
        <v>505</v>
      </c>
      <c r="B29" s="215" t="s">
        <v>403</v>
      </c>
      <c r="C29" s="102" t="s">
        <v>176</v>
      </c>
      <c r="D29" s="148" t="s">
        <v>195</v>
      </c>
      <c r="E29" s="148" t="s">
        <v>207</v>
      </c>
      <c r="F29" s="351">
        <f ca="1">Sch.48T!T97</f>
        <v>6.7349999999999993E-2</v>
      </c>
      <c r="G29" s="311">
        <f ca="1">Sch.48T!W97</f>
        <v>6.6915548657591389E-2</v>
      </c>
      <c r="H29" s="311"/>
    </row>
    <row r="30" spans="1:8">
      <c r="A30" s="216" t="s">
        <v>505</v>
      </c>
      <c r="B30" s="216" t="s">
        <v>403</v>
      </c>
      <c r="C30" s="150" t="s">
        <v>176</v>
      </c>
      <c r="D30" s="151" t="s">
        <v>195</v>
      </c>
      <c r="E30" s="151" t="s">
        <v>208</v>
      </c>
      <c r="F30" s="550">
        <f ca="1">Sch.48T!T98</f>
        <v>5.8020000000000002E-2</v>
      </c>
      <c r="G30" s="311">
        <f ca="1">Sch.48T!W98</f>
        <v>5.7585548657591398E-2</v>
      </c>
      <c r="H30" s="311"/>
    </row>
    <row r="31" spans="1:8">
      <c r="A31" s="219" t="s">
        <v>505</v>
      </c>
      <c r="B31" s="219" t="s">
        <v>29</v>
      </c>
      <c r="C31" s="145" t="s">
        <v>176</v>
      </c>
      <c r="D31" s="146" t="s">
        <v>203</v>
      </c>
      <c r="E31" s="146" t="s">
        <v>335</v>
      </c>
      <c r="F31" s="220">
        <f ca="1">SUMIFS(F$25:F$30,E$25:E$30,E31)*H31</f>
        <v>15819</v>
      </c>
      <c r="G31" s="140">
        <f t="shared" ref="G31:G36" ca="1" si="1">SUMIFS(G$25:G$30,E$25:E$30,E31)*H31</f>
        <v>15706.653548389775</v>
      </c>
      <c r="H31" s="140">
        <f>SUMIFS(F$5:F$10,E$5:E$10,E31)</f>
        <v>12</v>
      </c>
    </row>
    <row r="32" spans="1:8">
      <c r="A32" s="215" t="s">
        <v>505</v>
      </c>
      <c r="B32" s="215" t="s">
        <v>29</v>
      </c>
      <c r="C32" s="102" t="s">
        <v>176</v>
      </c>
      <c r="D32" s="148" t="s">
        <v>203</v>
      </c>
      <c r="E32" s="64" t="s">
        <v>281</v>
      </c>
      <c r="F32" s="217">
        <f t="shared" ref="F32:F36" ca="1" si="2">SUMIFS(F$25:F$30,E$25:E$30,E32)*H32</f>
        <v>56742.659999999996</v>
      </c>
      <c r="G32" s="140">
        <f t="shared" ca="1" si="1"/>
        <v>56258.731303128712</v>
      </c>
      <c r="H32" s="140">
        <f t="shared" ref="H32:H37" si="3">SUMIFS(F$5:F$10,E$5:E$10,E32)</f>
        <v>24249</v>
      </c>
    </row>
    <row r="33" spans="1:8">
      <c r="A33" s="215" t="s">
        <v>505</v>
      </c>
      <c r="B33" s="215" t="s">
        <v>29</v>
      </c>
      <c r="C33" s="102" t="s">
        <v>176</v>
      </c>
      <c r="D33" s="148" t="s">
        <v>195</v>
      </c>
      <c r="E33" s="148" t="s">
        <v>202</v>
      </c>
      <c r="F33" s="217">
        <f t="shared" ca="1" si="2"/>
        <v>161100</v>
      </c>
      <c r="G33" s="140">
        <f t="shared" ca="1" si="1"/>
        <v>160018.08371207191</v>
      </c>
      <c r="H33" s="140">
        <f t="shared" si="3"/>
        <v>17900</v>
      </c>
    </row>
    <row r="34" spans="1:8">
      <c r="A34" s="215" t="s">
        <v>505</v>
      </c>
      <c r="B34" s="215" t="s">
        <v>29</v>
      </c>
      <c r="C34" s="102" t="s">
        <v>176</v>
      </c>
      <c r="D34" s="148" t="s">
        <v>195</v>
      </c>
      <c r="E34" s="148" t="s">
        <v>286</v>
      </c>
      <c r="F34" s="217">
        <f t="shared" ca="1" si="2"/>
        <v>27450</v>
      </c>
      <c r="G34" s="140">
        <f t="shared" ca="1" si="1"/>
        <v>27265.651135297168</v>
      </c>
      <c r="H34" s="140">
        <f t="shared" si="3"/>
        <v>6100</v>
      </c>
    </row>
    <row r="35" spans="1:8">
      <c r="A35" s="215" t="s">
        <v>505</v>
      </c>
      <c r="B35" s="215" t="s">
        <v>29</v>
      </c>
      <c r="C35" s="102" t="s">
        <v>176</v>
      </c>
      <c r="D35" s="148" t="s">
        <v>195</v>
      </c>
      <c r="E35" s="148" t="s">
        <v>207</v>
      </c>
      <c r="F35" s="217">
        <f t="shared" ca="1" si="2"/>
        <v>50512.499999999993</v>
      </c>
      <c r="G35" s="140">
        <f t="shared" ca="1" si="1"/>
        <v>50186.66149319354</v>
      </c>
      <c r="H35" s="140">
        <f t="shared" si="3"/>
        <v>750000</v>
      </c>
    </row>
    <row r="36" spans="1:8">
      <c r="A36" s="215" t="s">
        <v>505</v>
      </c>
      <c r="B36" s="215" t="s">
        <v>29</v>
      </c>
      <c r="C36" s="102" t="s">
        <v>176</v>
      </c>
      <c r="D36" s="148" t="s">
        <v>195</v>
      </c>
      <c r="E36" s="148" t="s">
        <v>208</v>
      </c>
      <c r="F36" s="217">
        <f t="shared" ca="1" si="2"/>
        <v>53784.54</v>
      </c>
      <c r="G36" s="140">
        <f t="shared" ca="1" si="1"/>
        <v>53381.803605587229</v>
      </c>
      <c r="H36" s="140">
        <f t="shared" si="3"/>
        <v>927000</v>
      </c>
    </row>
    <row r="37" spans="1:8">
      <c r="A37" s="216" t="s">
        <v>505</v>
      </c>
      <c r="B37" s="216" t="s">
        <v>29</v>
      </c>
      <c r="C37" s="150" t="s">
        <v>176</v>
      </c>
      <c r="D37" s="152" t="s">
        <v>195</v>
      </c>
      <c r="E37" s="216" t="s">
        <v>168</v>
      </c>
      <c r="F37" s="218">
        <f>F23</f>
        <v>6272.3581069083993</v>
      </c>
      <c r="G37" s="140">
        <f>F23</f>
        <v>6272.3581069083993</v>
      </c>
      <c r="H37" s="140">
        <f t="shared" si="3"/>
        <v>0</v>
      </c>
    </row>
    <row r="38" spans="1:8">
      <c r="A38" s="300" t="s">
        <v>533</v>
      </c>
      <c r="B38" s="426" t="s">
        <v>29</v>
      </c>
      <c r="C38" s="233" t="s">
        <v>195</v>
      </c>
      <c r="D38" s="233" t="s">
        <v>195</v>
      </c>
      <c r="E38" s="233" t="s">
        <v>195</v>
      </c>
      <c r="F38" s="233">
        <f ca="1">SUM(G45:G51)</f>
        <v>402200.7848994573</v>
      </c>
      <c r="G38" s="335"/>
      <c r="H38" s="159"/>
    </row>
    <row r="39" spans="1:8">
      <c r="A39" s="219" t="s">
        <v>506</v>
      </c>
      <c r="B39" s="219" t="s">
        <v>403</v>
      </c>
      <c r="C39" s="145" t="s">
        <v>176</v>
      </c>
      <c r="D39" s="146" t="s">
        <v>203</v>
      </c>
      <c r="E39" s="146" t="s">
        <v>335</v>
      </c>
      <c r="F39" s="549">
        <f ca="1">Sch.48T!T158</f>
        <v>1293</v>
      </c>
      <c r="G39" s="311">
        <f ca="1">Sch.48T!W158</f>
        <v>1284.0131388555142</v>
      </c>
      <c r="H39" s="311"/>
    </row>
    <row r="40" spans="1:8">
      <c r="A40" s="215" t="s">
        <v>506</v>
      </c>
      <c r="B40" s="215" t="s">
        <v>403</v>
      </c>
      <c r="C40" s="102" t="s">
        <v>176</v>
      </c>
      <c r="D40" s="148" t="s">
        <v>203</v>
      </c>
      <c r="E40" s="64" t="s">
        <v>281</v>
      </c>
      <c r="F40" s="351">
        <f ca="1">Sch.48T!T160</f>
        <v>3.46</v>
      </c>
      <c r="G40" s="311">
        <f ca="1">Sch.48T!W160</f>
        <v>3.4317937814036021</v>
      </c>
      <c r="H40" s="311"/>
    </row>
    <row r="41" spans="1:8">
      <c r="A41" s="215" t="s">
        <v>506</v>
      </c>
      <c r="B41" s="215" t="s">
        <v>403</v>
      </c>
      <c r="C41" s="102" t="s">
        <v>176</v>
      </c>
      <c r="D41" s="148" t="s">
        <v>195</v>
      </c>
      <c r="E41" s="148" t="s">
        <v>202</v>
      </c>
      <c r="F41" s="351">
        <f ca="1">Sch.48T!T162</f>
        <v>9.08</v>
      </c>
      <c r="G41" s="311">
        <f ca="1">Sch.48T!W162</f>
        <v>9.0136322882649971</v>
      </c>
      <c r="H41" s="311"/>
    </row>
    <row r="42" spans="1:8">
      <c r="A42" s="215" t="s">
        <v>506</v>
      </c>
      <c r="B42" s="215" t="s">
        <v>403</v>
      </c>
      <c r="C42" s="102" t="s">
        <v>176</v>
      </c>
      <c r="D42" s="148" t="s">
        <v>195</v>
      </c>
      <c r="E42" s="148" t="s">
        <v>286</v>
      </c>
      <c r="F42" s="351">
        <f ca="1">ROUND(F41/2,2)</f>
        <v>4.54</v>
      </c>
      <c r="G42" s="311">
        <f ca="1">G41/2</f>
        <v>4.5068161441324985</v>
      </c>
      <c r="H42" s="311"/>
    </row>
    <row r="43" spans="1:8">
      <c r="A43" s="215" t="s">
        <v>506</v>
      </c>
      <c r="B43" s="215" t="s">
        <v>403</v>
      </c>
      <c r="C43" s="102" t="s">
        <v>176</v>
      </c>
      <c r="D43" s="148" t="s">
        <v>195</v>
      </c>
      <c r="E43" s="148" t="s">
        <v>207</v>
      </c>
      <c r="F43" s="351">
        <f ca="1">Sch.48T!T163</f>
        <v>7.0290000000000005E-2</v>
      </c>
      <c r="G43" s="311">
        <f ca="1">Sch.48T!W163</f>
        <v>6.9836622112030497E-2</v>
      </c>
      <c r="H43" s="311"/>
    </row>
    <row r="44" spans="1:8">
      <c r="A44" s="216" t="s">
        <v>506</v>
      </c>
      <c r="B44" s="216" t="s">
        <v>403</v>
      </c>
      <c r="C44" s="150" t="s">
        <v>176</v>
      </c>
      <c r="D44" s="151" t="s">
        <v>195</v>
      </c>
      <c r="E44" s="151" t="s">
        <v>208</v>
      </c>
      <c r="F44" s="550">
        <f ca="1">Sch.48T!T164</f>
        <v>6.096E-2</v>
      </c>
      <c r="G44" s="311">
        <f ca="1">Sch.48T!W164</f>
        <v>6.0506622112030499E-2</v>
      </c>
      <c r="H44" s="311"/>
    </row>
    <row r="45" spans="1:8">
      <c r="A45" s="219" t="s">
        <v>506</v>
      </c>
      <c r="B45" s="219" t="s">
        <v>29</v>
      </c>
      <c r="C45" s="145" t="s">
        <v>176</v>
      </c>
      <c r="D45" s="146" t="s">
        <v>203</v>
      </c>
      <c r="E45" s="146" t="s">
        <v>335</v>
      </c>
      <c r="F45" s="220">
        <f t="shared" ref="F45:F50" ca="1" si="4">SUMIFS(F$39:F$44,E$39:E$44,E45)*H45</f>
        <v>15516</v>
      </c>
      <c r="G45" s="140">
        <f t="shared" ref="G45:G50" ca="1" si="5">SUMIFS(G$39:G$44,E$39:E$44,E45)*H45</f>
        <v>15408.15766626617</v>
      </c>
      <c r="H45" s="140">
        <f>SUMIFS(F$5:F$10,E$5:E$10,E45)</f>
        <v>12</v>
      </c>
    </row>
    <row r="46" spans="1:8">
      <c r="A46" s="215" t="s">
        <v>506</v>
      </c>
      <c r="B46" s="215" t="s">
        <v>29</v>
      </c>
      <c r="C46" s="102" t="s">
        <v>176</v>
      </c>
      <c r="D46" s="148" t="s">
        <v>203</v>
      </c>
      <c r="E46" s="64" t="s">
        <v>281</v>
      </c>
      <c r="F46" s="217">
        <f t="shared" ca="1" si="4"/>
        <v>83901.54</v>
      </c>
      <c r="G46" s="140">
        <f t="shared" ca="1" si="5"/>
        <v>83217.567405255948</v>
      </c>
      <c r="H46" s="140">
        <f t="shared" ref="H46:H51" si="6">SUMIFS(F$5:F$10,E$5:E$10,E46)</f>
        <v>24249</v>
      </c>
    </row>
    <row r="47" spans="1:8">
      <c r="A47" s="215" t="s">
        <v>506</v>
      </c>
      <c r="B47" s="215" t="s">
        <v>29</v>
      </c>
      <c r="C47" s="102" t="s">
        <v>176</v>
      </c>
      <c r="D47" s="148" t="s">
        <v>195</v>
      </c>
      <c r="E47" s="148" t="s">
        <v>202</v>
      </c>
      <c r="F47" s="217">
        <f t="shared" ca="1" si="4"/>
        <v>162532</v>
      </c>
      <c r="G47" s="140">
        <f t="shared" ca="1" si="5"/>
        <v>161344.01795994345</v>
      </c>
      <c r="H47" s="140">
        <f t="shared" si="6"/>
        <v>17900</v>
      </c>
    </row>
    <row r="48" spans="1:8">
      <c r="A48" s="215" t="s">
        <v>506</v>
      </c>
      <c r="B48" s="215" t="s">
        <v>29</v>
      </c>
      <c r="C48" s="102" t="s">
        <v>176</v>
      </c>
      <c r="D48" s="148" t="s">
        <v>195</v>
      </c>
      <c r="E48" s="148" t="s">
        <v>286</v>
      </c>
      <c r="F48" s="217">
        <f t="shared" ca="1" si="4"/>
        <v>27694</v>
      </c>
      <c r="G48" s="140">
        <f t="shared" ca="1" si="5"/>
        <v>27491.578479208241</v>
      </c>
      <c r="H48" s="140">
        <f t="shared" si="6"/>
        <v>6100</v>
      </c>
    </row>
    <row r="49" spans="1:8">
      <c r="A49" s="215" t="s">
        <v>506</v>
      </c>
      <c r="B49" s="215" t="s">
        <v>29</v>
      </c>
      <c r="C49" s="102" t="s">
        <v>176</v>
      </c>
      <c r="D49" s="148" t="s">
        <v>195</v>
      </c>
      <c r="E49" s="148" t="s">
        <v>207</v>
      </c>
      <c r="F49" s="217">
        <f t="shared" ca="1" si="4"/>
        <v>52717.500000000007</v>
      </c>
      <c r="G49" s="140">
        <f t="shared" ca="1" si="5"/>
        <v>52377.46658402287</v>
      </c>
      <c r="H49" s="140">
        <f t="shared" si="6"/>
        <v>750000</v>
      </c>
    </row>
    <row r="50" spans="1:8">
      <c r="A50" s="215" t="s">
        <v>506</v>
      </c>
      <c r="B50" s="215" t="s">
        <v>29</v>
      </c>
      <c r="C50" s="102" t="s">
        <v>176</v>
      </c>
      <c r="D50" s="148" t="s">
        <v>195</v>
      </c>
      <c r="E50" s="148" t="s">
        <v>208</v>
      </c>
      <c r="F50" s="217">
        <f t="shared" ca="1" si="4"/>
        <v>56509.919999999998</v>
      </c>
      <c r="G50" s="140">
        <f t="shared" ca="1" si="5"/>
        <v>56089.638697852271</v>
      </c>
      <c r="H50" s="140">
        <f t="shared" si="6"/>
        <v>927000</v>
      </c>
    </row>
    <row r="51" spans="1:8">
      <c r="A51" s="216" t="s">
        <v>506</v>
      </c>
      <c r="B51" s="216" t="s">
        <v>29</v>
      </c>
      <c r="C51" s="150" t="s">
        <v>176</v>
      </c>
      <c r="D51" s="152" t="s">
        <v>195</v>
      </c>
      <c r="E51" s="216" t="s">
        <v>168</v>
      </c>
      <c r="F51" s="218">
        <f>F23</f>
        <v>6272.3581069083993</v>
      </c>
      <c r="G51" s="140">
        <f>F23</f>
        <v>6272.3581069083993</v>
      </c>
      <c r="H51" s="140">
        <f t="shared" si="6"/>
        <v>0</v>
      </c>
    </row>
    <row r="53" spans="1:8">
      <c r="F53" s="561" t="s">
        <v>215</v>
      </c>
      <c r="G53" s="441"/>
    </row>
    <row r="54" spans="1:8">
      <c r="F54" s="562" t="s">
        <v>501</v>
      </c>
      <c r="G54" s="560">
        <f ca="1">SUM(G31:G37)-F24</f>
        <v>0</v>
      </c>
    </row>
    <row r="55" spans="1:8">
      <c r="F55" s="563" t="s">
        <v>503</v>
      </c>
      <c r="G55" s="548">
        <f ca="1">SUM(G45:G51)-F38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1" manualBreakCount="1">
    <brk id="23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B12A7-730B-4035-B76C-3BC73463C7F2}">
  <sheetPr>
    <pageSetUpPr fitToPage="1"/>
  </sheetPr>
  <dimension ref="A1:AA133"/>
  <sheetViews>
    <sheetView showGridLines="0" view="pageBreakPreview" zoomScale="70" zoomScaleNormal="70" zoomScaleSheetLayoutView="70" workbookViewId="0">
      <pane ySplit="4" topLeftCell="A5" activePane="bottomLeft" state="frozen"/>
      <selection activeCell="G59" sqref="G59"/>
      <selection pane="bottomLeft" activeCell="A5" sqref="A5"/>
    </sheetView>
  </sheetViews>
  <sheetFormatPr defaultRowHeight="15.75"/>
  <cols>
    <col min="1" max="1" width="7.625" style="236" bestFit="1" customWidth="1"/>
    <col min="2" max="2" width="9.25" style="236" bestFit="1" customWidth="1"/>
    <col min="3" max="3" width="6.75" style="236" bestFit="1" customWidth="1"/>
    <col min="4" max="4" width="7.5" style="236" bestFit="1" customWidth="1"/>
    <col min="5" max="5" width="11.25" style="236" bestFit="1" customWidth="1"/>
    <col min="6" max="13" width="10.25" style="1" customWidth="1"/>
    <col min="14" max="14" width="46.25" style="157" bestFit="1" customWidth="1"/>
    <col min="15" max="15" width="7.125" style="157" bestFit="1" customWidth="1"/>
    <col min="16" max="16" width="7.625" style="157" bestFit="1" customWidth="1"/>
    <col min="17" max="17" width="10.5" style="157" bestFit="1" customWidth="1"/>
    <col min="18" max="18" width="41" style="157" bestFit="1" customWidth="1"/>
    <col min="19" max="19" width="13.375" style="158" bestFit="1" customWidth="1"/>
    <col min="20" max="27" width="13.375" style="1" customWidth="1"/>
    <col min="28" max="16384" width="9" style="1"/>
  </cols>
  <sheetData>
    <row r="1" spans="14:20">
      <c r="N1" s="261" t="s">
        <v>152</v>
      </c>
      <c r="O1" s="252"/>
      <c r="P1" s="252"/>
      <c r="Q1" s="252"/>
      <c r="R1" s="252"/>
      <c r="S1" s="254"/>
    </row>
    <row r="2" spans="14:20">
      <c r="N2" s="276" t="s">
        <v>486</v>
      </c>
      <c r="O2" s="255"/>
      <c r="P2" s="255"/>
      <c r="Q2" s="255"/>
      <c r="R2" s="255"/>
      <c r="S2" s="271"/>
    </row>
    <row r="3" spans="14:20" s="159" customFormat="1">
      <c r="N3" s="256" t="s">
        <v>407</v>
      </c>
      <c r="O3" s="257"/>
      <c r="P3" s="258"/>
      <c r="Q3" s="258"/>
      <c r="R3" s="259"/>
      <c r="S3" s="260"/>
    </row>
    <row r="4" spans="14:20" s="159" customFormat="1">
      <c r="N4" s="233"/>
      <c r="O4" s="233"/>
      <c r="P4" s="234" t="s">
        <v>193</v>
      </c>
      <c r="Q4" s="234" t="s">
        <v>194</v>
      </c>
      <c r="R4" s="234" t="s">
        <v>401</v>
      </c>
      <c r="S4" s="235" t="s">
        <v>206</v>
      </c>
    </row>
    <row r="5" spans="14:20" s="159" customFormat="1">
      <c r="N5" s="262" t="s">
        <v>217</v>
      </c>
      <c r="O5" s="145" t="s">
        <v>402</v>
      </c>
      <c r="P5" s="144" t="s">
        <v>199</v>
      </c>
      <c r="Q5" s="144" t="s">
        <v>195</v>
      </c>
      <c r="R5" s="144" t="s">
        <v>285</v>
      </c>
      <c r="S5" s="144">
        <f>SUMIFS('Normalized Units'!I:I,'Normalized Units'!B:B,"Normalized Billing Units",'Normalized Units'!C:C,N$1,'Normalized Units'!F:F,P5,'Normalized Units'!G:G,Q5,'Normalized Units'!H:H,R5)</f>
        <v>508.93495414173873</v>
      </c>
    </row>
    <row r="6" spans="14:20" s="159" customFormat="1">
      <c r="N6" s="237" t="s">
        <v>217</v>
      </c>
      <c r="O6" s="102" t="s">
        <v>402</v>
      </c>
      <c r="P6" s="100" t="s">
        <v>199</v>
      </c>
      <c r="Q6" s="100" t="s">
        <v>195</v>
      </c>
      <c r="R6" s="100" t="s">
        <v>194</v>
      </c>
      <c r="S6" s="100">
        <f>SUMIFS('Normalized Units'!I:I,'Normalized Units'!B:B,"Normalized Billing Units",'Normalized Units'!C:C,N$1,'Normalized Units'!F:F,P6,'Normalized Units'!G:G,Q6,'Normalized Units'!H:H,R6)</f>
        <v>495.84657534246583</v>
      </c>
    </row>
    <row r="7" spans="14:20" s="159" customFormat="1">
      <c r="N7" s="237" t="s">
        <v>217</v>
      </c>
      <c r="O7" s="102" t="s">
        <v>402</v>
      </c>
      <c r="P7" s="100" t="s">
        <v>200</v>
      </c>
      <c r="Q7" s="100" t="s">
        <v>203</v>
      </c>
      <c r="R7" s="100" t="s">
        <v>285</v>
      </c>
      <c r="S7" s="100">
        <f>SUMIFS('Normalized Units'!I:I,'Normalized Units'!B:B,"Normalized Billing Units",'Normalized Units'!C:C,N$1,'Normalized Units'!F:F,P7,'Normalized Units'!G:G,Q7,'Normalized Units'!H:H,R7)</f>
        <v>983.23536988517992</v>
      </c>
    </row>
    <row r="8" spans="14:20" s="159" customFormat="1">
      <c r="N8" s="237" t="s">
        <v>217</v>
      </c>
      <c r="O8" s="102" t="s">
        <v>402</v>
      </c>
      <c r="P8" s="100" t="s">
        <v>200</v>
      </c>
      <c r="Q8" s="100" t="s">
        <v>203</v>
      </c>
      <c r="R8" s="100" t="s">
        <v>194</v>
      </c>
      <c r="S8" s="100">
        <f>SUMIFS('Normalized Units'!I:I,'Normalized Units'!B:B,"Normalized Billing Units",'Normalized Units'!C:C,N$1,'Normalized Units'!F:F,P8,'Normalized Units'!G:G,Q8,'Normalized Units'!H:H,R8)</f>
        <v>2698.3863013698633</v>
      </c>
    </row>
    <row r="9" spans="14:20" s="159" customFormat="1">
      <c r="N9" s="237" t="s">
        <v>217</v>
      </c>
      <c r="O9" s="102" t="s">
        <v>402</v>
      </c>
      <c r="P9" s="100" t="s">
        <v>200</v>
      </c>
      <c r="Q9" s="100" t="s">
        <v>284</v>
      </c>
      <c r="R9" s="100" t="s">
        <v>194</v>
      </c>
      <c r="S9" s="100">
        <f>SUMIFS('Normalized Units'!I:I,'Normalized Units'!B:B,"Normalized Billing Units",'Normalized Units'!C:C,N$1,'Normalized Units'!F:F,P9,'Normalized Units'!G:G,Q9,'Normalized Units'!H:H,R9)</f>
        <v>441.46027397260241</v>
      </c>
    </row>
    <row r="10" spans="14:20" s="159" customFormat="1">
      <c r="N10" s="237" t="s">
        <v>217</v>
      </c>
      <c r="O10" s="102" t="s">
        <v>402</v>
      </c>
      <c r="P10" s="100" t="s">
        <v>200</v>
      </c>
      <c r="Q10" s="100" t="s">
        <v>204</v>
      </c>
      <c r="R10" s="100" t="s">
        <v>194</v>
      </c>
      <c r="S10" s="100">
        <f>SUMIFS('Normalized Units'!I:I,'Normalized Units'!B:B,"Normalized Billing Units",'Normalized Units'!C:C,N$1,'Normalized Units'!F:F,P10,'Normalized Units'!G:G,Q10,'Normalized Units'!H:H,R10)</f>
        <v>12.999999999999996</v>
      </c>
    </row>
    <row r="11" spans="14:20" s="159" customFormat="1">
      <c r="N11" s="237" t="s">
        <v>217</v>
      </c>
      <c r="O11" s="102" t="s">
        <v>402</v>
      </c>
      <c r="P11" s="100" t="s">
        <v>200</v>
      </c>
      <c r="Q11" s="100" t="s">
        <v>284</v>
      </c>
      <c r="R11" s="100" t="s">
        <v>281</v>
      </c>
      <c r="S11" s="100">
        <f>SUMIFS('Normalized Units'!I:I,'Normalized Units'!B:B,"Normalized Billing Units",'Normalized Units'!C:C,N$1,'Normalized Units'!F:F,P11,'Normalized Units'!G:G,Q11,'Normalized Units'!H:H,R11)</f>
        <v>42806.539309357671</v>
      </c>
    </row>
    <row r="12" spans="14:20" s="159" customFormat="1">
      <c r="N12" s="237" t="s">
        <v>217</v>
      </c>
      <c r="O12" s="102" t="s">
        <v>402</v>
      </c>
      <c r="P12" s="100" t="s">
        <v>200</v>
      </c>
      <c r="Q12" s="100" t="s">
        <v>204</v>
      </c>
      <c r="R12" s="100" t="s">
        <v>281</v>
      </c>
      <c r="S12" s="100">
        <f>SUMIFS('Normalized Units'!I:I,'Normalized Units'!B:B,"Normalized Billing Units",'Normalized Units'!C:C,N$1,'Normalized Units'!F:F,P12,'Normalized Units'!G:G,Q12,'Normalized Units'!H:H,R12)</f>
        <v>5726.0005996812115</v>
      </c>
    </row>
    <row r="13" spans="14:20" s="159" customFormat="1">
      <c r="N13" s="237" t="s">
        <v>217</v>
      </c>
      <c r="O13" s="102" t="s">
        <v>402</v>
      </c>
      <c r="P13" s="100" t="s">
        <v>195</v>
      </c>
      <c r="Q13" s="100" t="s">
        <v>203</v>
      </c>
      <c r="R13" s="100" t="s">
        <v>281</v>
      </c>
      <c r="S13" s="100">
        <f>SUMIFS('Normalized Units'!I:I,'Normalized Units'!B:B,"Normalized Billing Units",'Normalized Units'!C:C,N$1,'Normalized Units'!F:F,P13,'Normalized Units'!G:G,Q13,'Normalized Units'!H:H,R13)</f>
        <v>55806.423731300492</v>
      </c>
    </row>
    <row r="14" spans="14:20" s="159" customFormat="1">
      <c r="N14" s="237" t="s">
        <v>217</v>
      </c>
      <c r="O14" s="102" t="s">
        <v>402</v>
      </c>
      <c r="P14" s="100" t="s">
        <v>195</v>
      </c>
      <c r="Q14" s="100" t="s">
        <v>195</v>
      </c>
      <c r="R14" s="100" t="s">
        <v>6</v>
      </c>
      <c r="S14" s="100">
        <f>SUMIFS('Normalized Units'!I:I,'Normalized Units'!B:B,"Normalized Billing Units",'Normalized Units'!C:C,N$1,'Normalized Units'!F:F,P14,'Normalized Units'!G:G,Q14,'Normalized Units'!H:H,R14)</f>
        <v>163418487.16573825</v>
      </c>
      <c r="T14" s="456"/>
    </row>
    <row r="15" spans="14:20" s="159" customFormat="1">
      <c r="N15" s="237" t="s">
        <v>217</v>
      </c>
      <c r="O15" s="102" t="s">
        <v>402</v>
      </c>
      <c r="P15" s="100" t="s">
        <v>195</v>
      </c>
      <c r="Q15" s="100" t="s">
        <v>195</v>
      </c>
      <c r="R15" s="100" t="s">
        <v>201</v>
      </c>
      <c r="S15" s="100">
        <f>SUMIFS('Normalized Units'!I:I,'Normalized Units'!B:B,"Normalized Billing Units",'Normalized Units'!C:C,N$1,'Normalized Units'!F:F,P15,'Normalized Units'!G:G,Q15,'Normalized Units'!H:H,R15)</f>
        <v>70608.913793103449</v>
      </c>
    </row>
    <row r="16" spans="14:20" s="159" customFormat="1">
      <c r="N16" s="237" t="s">
        <v>217</v>
      </c>
      <c r="O16" s="102" t="s">
        <v>402</v>
      </c>
      <c r="P16" s="100" t="s">
        <v>195</v>
      </c>
      <c r="Q16" s="100" t="s">
        <v>195</v>
      </c>
      <c r="R16" s="173" t="s">
        <v>367</v>
      </c>
      <c r="S16" s="100">
        <f>SUMIFS('Normalized Units'!I:I,'Normalized Units'!B:B,"Normalized Billing Units",'Normalized Units'!C:C,N$1,'Normalized Units'!F:F,P16,'Normalized Units'!G:G,Q16,'Normalized Units'!H:H,R16)</f>
        <v>22840</v>
      </c>
    </row>
    <row r="17" spans="1:20" s="159" customFormat="1">
      <c r="N17" s="237" t="s">
        <v>217</v>
      </c>
      <c r="O17" s="102" t="s">
        <v>402</v>
      </c>
      <c r="P17" s="100" t="s">
        <v>195</v>
      </c>
      <c r="Q17" s="100" t="s">
        <v>195</v>
      </c>
      <c r="R17" s="173" t="s">
        <v>358</v>
      </c>
      <c r="S17" s="100">
        <f>SUMIFS('Normalized Units'!I:I,'Normalized Units'!B:B,"Normalized Billing Units",'Normalized Units'!C:C,N$1,'Normalized Units'!F:F,P17,'Normalized Units'!G:G,Q17,'Normalized Units'!H:H,R17)</f>
        <v>853.73333333333335</v>
      </c>
    </row>
    <row r="18" spans="1:20" s="159" customFormat="1">
      <c r="N18" s="263" t="s">
        <v>217</v>
      </c>
      <c r="O18" s="150" t="s">
        <v>402</v>
      </c>
      <c r="P18" s="152" t="s">
        <v>195</v>
      </c>
      <c r="Q18" s="152" t="s">
        <v>195</v>
      </c>
      <c r="R18" s="266" t="s">
        <v>368</v>
      </c>
      <c r="S18" s="152">
        <f>SUMIFS('Normalized Units'!I:I,'Normalized Units'!B:B,"Normalized Billing Units",'Normalized Units'!C:C,N$1,'Normalized Units'!F:F,P18,'Normalized Units'!G:G,Q18,'Normalized Units'!H:H,R18)</f>
        <v>12.166666666666668</v>
      </c>
    </row>
    <row r="19" spans="1:20" s="140" customFormat="1">
      <c r="N19" s="145" t="s">
        <v>406</v>
      </c>
      <c r="O19" s="145" t="s">
        <v>403</v>
      </c>
      <c r="P19" s="144" t="s">
        <v>199</v>
      </c>
      <c r="Q19" s="144" t="s">
        <v>195</v>
      </c>
      <c r="R19" s="144" t="s">
        <v>285</v>
      </c>
      <c r="S19" s="323">
        <v>94.74</v>
      </c>
      <c r="T19" s="457"/>
    </row>
    <row r="20" spans="1:20" s="140" customFormat="1">
      <c r="N20" s="102" t="s">
        <v>406</v>
      </c>
      <c r="O20" s="102" t="s">
        <v>403</v>
      </c>
      <c r="P20" s="100" t="s">
        <v>199</v>
      </c>
      <c r="Q20" s="100" t="s">
        <v>195</v>
      </c>
      <c r="R20" s="100" t="s">
        <v>194</v>
      </c>
      <c r="S20" s="324">
        <v>0</v>
      </c>
      <c r="T20" s="1"/>
    </row>
    <row r="21" spans="1:20" s="140" customFormat="1">
      <c r="N21" s="102" t="s">
        <v>406</v>
      </c>
      <c r="O21" s="102" t="s">
        <v>403</v>
      </c>
      <c r="P21" s="100" t="s">
        <v>200</v>
      </c>
      <c r="Q21" s="100" t="s">
        <v>203</v>
      </c>
      <c r="R21" s="100" t="s">
        <v>285</v>
      </c>
      <c r="S21" s="324">
        <v>189.48</v>
      </c>
      <c r="T21" s="457"/>
    </row>
    <row r="22" spans="1:20" s="140" customFormat="1">
      <c r="N22" s="102" t="s">
        <v>406</v>
      </c>
      <c r="O22" s="102" t="s">
        <v>403</v>
      </c>
      <c r="P22" s="100" t="s">
        <v>200</v>
      </c>
      <c r="Q22" s="100" t="s">
        <v>203</v>
      </c>
      <c r="R22" s="100" t="s">
        <v>194</v>
      </c>
      <c r="S22" s="324">
        <v>0</v>
      </c>
      <c r="T22" s="1"/>
    </row>
    <row r="23" spans="1:20" s="140" customFormat="1">
      <c r="N23" s="102" t="s">
        <v>406</v>
      </c>
      <c r="O23" s="102" t="s">
        <v>403</v>
      </c>
      <c r="P23" s="100" t="s">
        <v>200</v>
      </c>
      <c r="Q23" s="100" t="s">
        <v>284</v>
      </c>
      <c r="R23" s="100" t="s">
        <v>194</v>
      </c>
      <c r="S23" s="324">
        <v>449</v>
      </c>
      <c r="T23" s="1"/>
    </row>
    <row r="24" spans="1:20" s="140" customFormat="1">
      <c r="A24" s="164"/>
      <c r="N24" s="102" t="s">
        <v>406</v>
      </c>
      <c r="O24" s="102" t="s">
        <v>403</v>
      </c>
      <c r="P24" s="100" t="s">
        <v>200</v>
      </c>
      <c r="Q24" s="100" t="s">
        <v>204</v>
      </c>
      <c r="R24" s="100" t="s">
        <v>194</v>
      </c>
      <c r="S24" s="324">
        <v>1825</v>
      </c>
      <c r="T24" s="1"/>
    </row>
    <row r="25" spans="1:20" s="140" customFormat="1">
      <c r="D25" s="143"/>
      <c r="N25" s="102" t="s">
        <v>406</v>
      </c>
      <c r="O25" s="102" t="s">
        <v>403</v>
      </c>
      <c r="P25" s="100" t="s">
        <v>200</v>
      </c>
      <c r="Q25" s="100" t="s">
        <v>284</v>
      </c>
      <c r="R25" s="100" t="s">
        <v>281</v>
      </c>
      <c r="S25" s="324">
        <v>21.97</v>
      </c>
      <c r="T25" s="1"/>
    </row>
    <row r="26" spans="1:20" s="140" customFormat="1">
      <c r="N26" s="102" t="s">
        <v>406</v>
      </c>
      <c r="O26" s="102" t="s">
        <v>403</v>
      </c>
      <c r="P26" s="100" t="s">
        <v>200</v>
      </c>
      <c r="Q26" s="100" t="s">
        <v>204</v>
      </c>
      <c r="R26" s="100" t="s">
        <v>281</v>
      </c>
      <c r="S26" s="324">
        <v>17.18</v>
      </c>
      <c r="T26" s="1"/>
    </row>
    <row r="27" spans="1:20" s="140" customFormat="1">
      <c r="N27" s="102" t="s">
        <v>406</v>
      </c>
      <c r="O27" s="102" t="s">
        <v>403</v>
      </c>
      <c r="P27" s="100" t="s">
        <v>195</v>
      </c>
      <c r="Q27" s="100" t="s">
        <v>203</v>
      </c>
      <c r="R27" s="100" t="s">
        <v>281</v>
      </c>
      <c r="S27" s="324">
        <v>31.58</v>
      </c>
      <c r="T27" s="1"/>
    </row>
    <row r="28" spans="1:20" s="140" customFormat="1">
      <c r="N28" s="102" t="s">
        <v>406</v>
      </c>
      <c r="O28" s="102" t="s">
        <v>403</v>
      </c>
      <c r="P28" s="100" t="s">
        <v>195</v>
      </c>
      <c r="Q28" s="100" t="s">
        <v>195</v>
      </c>
      <c r="R28" s="100" t="s">
        <v>6</v>
      </c>
      <c r="S28" s="324">
        <v>7.8969999999999999E-2</v>
      </c>
      <c r="T28" s="1"/>
    </row>
    <row r="29" spans="1:20" s="140" customFormat="1">
      <c r="N29" s="102" t="s">
        <v>406</v>
      </c>
      <c r="O29" s="102" t="s">
        <v>403</v>
      </c>
      <c r="P29" s="100" t="s">
        <v>195</v>
      </c>
      <c r="Q29" s="100" t="s">
        <v>195</v>
      </c>
      <c r="R29" s="100" t="s">
        <v>201</v>
      </c>
      <c r="S29" s="324">
        <v>0.57999999999999996</v>
      </c>
      <c r="T29" s="1"/>
    </row>
    <row r="30" spans="1:20" s="140" customFormat="1">
      <c r="N30" s="102" t="s">
        <v>406</v>
      </c>
      <c r="O30" s="102" t="s">
        <v>403</v>
      </c>
      <c r="P30" s="100" t="s">
        <v>195</v>
      </c>
      <c r="Q30" s="100" t="s">
        <v>195</v>
      </c>
      <c r="R30" s="173" t="s">
        <v>367</v>
      </c>
      <c r="S30" s="324">
        <v>-0.01</v>
      </c>
      <c r="T30" s="1"/>
    </row>
    <row r="31" spans="1:20" s="140" customFormat="1">
      <c r="N31" s="102" t="s">
        <v>406</v>
      </c>
      <c r="O31" s="102" t="s">
        <v>403</v>
      </c>
      <c r="P31" s="100" t="s">
        <v>195</v>
      </c>
      <c r="Q31" s="100" t="s">
        <v>195</v>
      </c>
      <c r="R31" s="173" t="s">
        <v>358</v>
      </c>
      <c r="S31" s="324">
        <v>-0.3</v>
      </c>
      <c r="T31" s="1"/>
    </row>
    <row r="32" spans="1:20" s="140" customFormat="1">
      <c r="N32" s="150" t="s">
        <v>406</v>
      </c>
      <c r="O32" s="150" t="s">
        <v>403</v>
      </c>
      <c r="P32" s="152" t="s">
        <v>195</v>
      </c>
      <c r="Q32" s="152" t="s">
        <v>195</v>
      </c>
      <c r="R32" s="266" t="s">
        <v>368</v>
      </c>
      <c r="S32" s="325">
        <v>60</v>
      </c>
      <c r="T32" s="1"/>
    </row>
    <row r="33" spans="1:20" s="140" customFormat="1">
      <c r="N33" s="145" t="s">
        <v>406</v>
      </c>
      <c r="O33" s="145" t="s">
        <v>29</v>
      </c>
      <c r="P33" s="146" t="s">
        <v>199</v>
      </c>
      <c r="Q33" s="146" t="s">
        <v>195</v>
      </c>
      <c r="R33" s="146" t="s">
        <v>285</v>
      </c>
      <c r="S33" s="220">
        <f t="shared" ref="S33:S46" si="0">S5*S19</f>
        <v>48216.497555388327</v>
      </c>
    </row>
    <row r="34" spans="1:20" s="140" customFormat="1">
      <c r="N34" s="102" t="s">
        <v>406</v>
      </c>
      <c r="O34" s="102" t="s">
        <v>29</v>
      </c>
      <c r="P34" s="148" t="s">
        <v>199</v>
      </c>
      <c r="Q34" s="148" t="s">
        <v>195</v>
      </c>
      <c r="R34" s="148" t="s">
        <v>194</v>
      </c>
      <c r="S34" s="217">
        <f t="shared" si="0"/>
        <v>0</v>
      </c>
    </row>
    <row r="35" spans="1:20" s="140" customFormat="1">
      <c r="N35" s="102" t="s">
        <v>406</v>
      </c>
      <c r="O35" s="102" t="s">
        <v>29</v>
      </c>
      <c r="P35" s="148" t="s">
        <v>200</v>
      </c>
      <c r="Q35" s="148" t="s">
        <v>203</v>
      </c>
      <c r="R35" s="148" t="s">
        <v>285</v>
      </c>
      <c r="S35" s="217">
        <f t="shared" si="0"/>
        <v>186303.43788584389</v>
      </c>
    </row>
    <row r="36" spans="1:20" s="140" customFormat="1">
      <c r="N36" s="102" t="s">
        <v>406</v>
      </c>
      <c r="O36" s="102" t="s">
        <v>29</v>
      </c>
      <c r="P36" s="148" t="s">
        <v>200</v>
      </c>
      <c r="Q36" s="148" t="s">
        <v>203</v>
      </c>
      <c r="R36" s="148" t="s">
        <v>194</v>
      </c>
      <c r="S36" s="217">
        <f t="shared" si="0"/>
        <v>0</v>
      </c>
    </row>
    <row r="37" spans="1:20" s="140" customFormat="1">
      <c r="N37" s="102" t="s">
        <v>406</v>
      </c>
      <c r="O37" s="102" t="s">
        <v>29</v>
      </c>
      <c r="P37" s="148" t="s">
        <v>200</v>
      </c>
      <c r="Q37" s="148" t="s">
        <v>284</v>
      </c>
      <c r="R37" s="148" t="s">
        <v>194</v>
      </c>
      <c r="S37" s="217">
        <f t="shared" si="0"/>
        <v>198215.66301369847</v>
      </c>
    </row>
    <row r="38" spans="1:20" s="140" customFormat="1">
      <c r="N38" s="102" t="s">
        <v>406</v>
      </c>
      <c r="O38" s="102" t="s">
        <v>29</v>
      </c>
      <c r="P38" s="148" t="s">
        <v>200</v>
      </c>
      <c r="Q38" s="148" t="s">
        <v>204</v>
      </c>
      <c r="R38" s="148" t="s">
        <v>194</v>
      </c>
      <c r="S38" s="217">
        <f t="shared" si="0"/>
        <v>23724.999999999993</v>
      </c>
    </row>
    <row r="39" spans="1:20" s="140" customFormat="1">
      <c r="N39" s="102" t="s">
        <v>406</v>
      </c>
      <c r="O39" s="102" t="s">
        <v>29</v>
      </c>
      <c r="P39" s="148" t="s">
        <v>200</v>
      </c>
      <c r="Q39" s="148" t="s">
        <v>284</v>
      </c>
      <c r="R39" s="148" t="s">
        <v>281</v>
      </c>
      <c r="S39" s="217">
        <f t="shared" si="0"/>
        <v>940459.66862658795</v>
      </c>
    </row>
    <row r="40" spans="1:20" s="140" customFormat="1">
      <c r="N40" s="102" t="s">
        <v>406</v>
      </c>
      <c r="O40" s="102" t="s">
        <v>29</v>
      </c>
      <c r="P40" s="148" t="s">
        <v>200</v>
      </c>
      <c r="Q40" s="148" t="s">
        <v>204</v>
      </c>
      <c r="R40" s="148" t="s">
        <v>281</v>
      </c>
      <c r="S40" s="217">
        <f t="shared" si="0"/>
        <v>98372.690302523217</v>
      </c>
    </row>
    <row r="41" spans="1:20" s="140" customFormat="1">
      <c r="N41" s="102" t="s">
        <v>406</v>
      </c>
      <c r="O41" s="102" t="s">
        <v>29</v>
      </c>
      <c r="P41" s="148" t="s">
        <v>195</v>
      </c>
      <c r="Q41" s="148" t="s">
        <v>203</v>
      </c>
      <c r="R41" s="148" t="s">
        <v>281</v>
      </c>
      <c r="S41" s="217">
        <f t="shared" si="0"/>
        <v>1762366.8614344695</v>
      </c>
    </row>
    <row r="42" spans="1:20" s="140" customFormat="1">
      <c r="N42" s="102" t="s">
        <v>406</v>
      </c>
      <c r="O42" s="102" t="s">
        <v>29</v>
      </c>
      <c r="P42" s="148" t="s">
        <v>195</v>
      </c>
      <c r="Q42" s="148" t="s">
        <v>195</v>
      </c>
      <c r="R42" s="148" t="s">
        <v>6</v>
      </c>
      <c r="S42" s="217">
        <f t="shared" si="0"/>
        <v>12905157.931478349</v>
      </c>
    </row>
    <row r="43" spans="1:20" s="140" customFormat="1">
      <c r="A43" s="272" t="s">
        <v>152</v>
      </c>
      <c r="B43" s="316"/>
      <c r="C43" s="410"/>
      <c r="D43" s="410"/>
      <c r="E43" s="410"/>
      <c r="F43" s="385"/>
      <c r="G43" s="385"/>
      <c r="H43" s="385"/>
      <c r="I43" s="385"/>
      <c r="J43" s="385"/>
      <c r="K43" s="385"/>
      <c r="L43" s="385"/>
      <c r="M43" s="342"/>
      <c r="N43" s="102" t="s">
        <v>406</v>
      </c>
      <c r="O43" s="102" t="s">
        <v>29</v>
      </c>
      <c r="P43" s="148" t="s">
        <v>195</v>
      </c>
      <c r="Q43" s="148" t="s">
        <v>195</v>
      </c>
      <c r="R43" s="148" t="s">
        <v>201</v>
      </c>
      <c r="S43" s="217">
        <f t="shared" si="0"/>
        <v>40953.17</v>
      </c>
    </row>
    <row r="44" spans="1:20" s="140" customFormat="1">
      <c r="A44" s="273" t="s">
        <v>486</v>
      </c>
      <c r="B44" s="315"/>
      <c r="C44" s="411"/>
      <c r="D44" s="411"/>
      <c r="E44" s="411"/>
      <c r="F44" s="343"/>
      <c r="G44" s="343"/>
      <c r="H44" s="343"/>
      <c r="I44" s="343"/>
      <c r="J44" s="343"/>
      <c r="K44" s="343"/>
      <c r="L44" s="343"/>
      <c r="M44" s="401"/>
      <c r="N44" s="102" t="s">
        <v>406</v>
      </c>
      <c r="O44" s="102" t="s">
        <v>29</v>
      </c>
      <c r="P44" s="148" t="s">
        <v>195</v>
      </c>
      <c r="Q44" s="148" t="s">
        <v>195</v>
      </c>
      <c r="R44" s="173" t="s">
        <v>367</v>
      </c>
      <c r="S44" s="217">
        <f t="shared" si="0"/>
        <v>-228.4</v>
      </c>
    </row>
    <row r="45" spans="1:20" s="140" customFormat="1">
      <c r="A45" s="273" t="s">
        <v>508</v>
      </c>
      <c r="B45" s="315"/>
      <c r="C45" s="411"/>
      <c r="D45" s="411"/>
      <c r="E45" s="411"/>
      <c r="F45" s="389"/>
      <c r="G45" s="389"/>
      <c r="H45" s="389"/>
      <c r="I45" s="389"/>
      <c r="J45" s="389"/>
      <c r="K45" s="389"/>
      <c r="L45" s="389"/>
      <c r="M45" s="399"/>
      <c r="N45" s="102" t="s">
        <v>406</v>
      </c>
      <c r="O45" s="102" t="s">
        <v>29</v>
      </c>
      <c r="P45" s="148" t="s">
        <v>195</v>
      </c>
      <c r="Q45" s="148" t="s">
        <v>195</v>
      </c>
      <c r="R45" s="173" t="s">
        <v>358</v>
      </c>
      <c r="S45" s="217">
        <f t="shared" si="0"/>
        <v>-256.12</v>
      </c>
    </row>
    <row r="46" spans="1:20" s="140" customFormat="1">
      <c r="A46" s="268"/>
      <c r="B46" s="268"/>
      <c r="C46" s="268"/>
      <c r="D46" s="268"/>
      <c r="E46" s="268"/>
      <c r="F46" s="341" t="s">
        <v>624</v>
      </c>
      <c r="G46" s="341"/>
      <c r="H46" s="341"/>
      <c r="I46" s="341"/>
      <c r="J46" s="341"/>
      <c r="K46" s="341"/>
      <c r="L46" s="341"/>
      <c r="M46" s="538"/>
      <c r="N46" s="102" t="s">
        <v>406</v>
      </c>
      <c r="O46" s="102" t="s">
        <v>29</v>
      </c>
      <c r="P46" s="148" t="s">
        <v>195</v>
      </c>
      <c r="Q46" s="148" t="s">
        <v>195</v>
      </c>
      <c r="R46" s="173" t="s">
        <v>368</v>
      </c>
      <c r="S46" s="217">
        <f t="shared" si="0"/>
        <v>730.00000000000011</v>
      </c>
    </row>
    <row r="47" spans="1:20" s="140" customFormat="1">
      <c r="A47" s="491"/>
      <c r="B47" s="303"/>
      <c r="C47" s="445" t="s">
        <v>490</v>
      </c>
      <c r="D47" s="445" t="s">
        <v>6</v>
      </c>
      <c r="E47" s="395"/>
      <c r="F47" s="409" t="s">
        <v>501</v>
      </c>
      <c r="G47" s="409"/>
      <c r="H47" s="385"/>
      <c r="I47" s="435"/>
      <c r="J47" s="384" t="s">
        <v>503</v>
      </c>
      <c r="K47" s="409"/>
      <c r="L47" s="385"/>
      <c r="M47" s="435"/>
      <c r="N47" s="150" t="s">
        <v>406</v>
      </c>
      <c r="O47" s="150" t="s">
        <v>29</v>
      </c>
      <c r="P47" s="152" t="s">
        <v>195</v>
      </c>
      <c r="Q47" s="152" t="s">
        <v>195</v>
      </c>
      <c r="R47" s="216" t="s">
        <v>168</v>
      </c>
      <c r="S47" s="218">
        <f>Unbilled!E11</f>
        <v>-1729000</v>
      </c>
      <c r="T47" s="1"/>
    </row>
    <row r="48" spans="1:20">
      <c r="A48" s="445"/>
      <c r="B48" s="390" t="s">
        <v>490</v>
      </c>
      <c r="C48" s="445" t="s">
        <v>527</v>
      </c>
      <c r="D48" s="395" t="s">
        <v>530</v>
      </c>
      <c r="E48" s="445"/>
      <c r="F48" s="646"/>
      <c r="G48" s="392"/>
      <c r="H48" s="392"/>
      <c r="I48" s="220" t="s">
        <v>494</v>
      </c>
      <c r="J48" s="392"/>
      <c r="K48" s="392"/>
      <c r="L48" s="392"/>
      <c r="M48" s="220" t="s">
        <v>494</v>
      </c>
      <c r="N48" s="309" t="s">
        <v>536</v>
      </c>
      <c r="O48" s="264" t="s">
        <v>29</v>
      </c>
      <c r="P48" s="144" t="s">
        <v>195</v>
      </c>
      <c r="Q48" s="219" t="s">
        <v>195</v>
      </c>
      <c r="R48" s="219" t="s">
        <v>195</v>
      </c>
      <c r="S48" s="219">
        <f ca="1">'Cost of Service and Proposed $'!Q123</f>
        <v>353309.94985181937</v>
      </c>
    </row>
    <row r="49" spans="1:27">
      <c r="A49" s="448" t="s">
        <v>193</v>
      </c>
      <c r="B49" s="450" t="s">
        <v>527</v>
      </c>
      <c r="C49" s="397" t="s">
        <v>202</v>
      </c>
      <c r="D49" s="397" t="s">
        <v>202</v>
      </c>
      <c r="E49" s="397" t="s">
        <v>6</v>
      </c>
      <c r="F49" s="368" t="s">
        <v>406</v>
      </c>
      <c r="G49" s="284" t="s">
        <v>412</v>
      </c>
      <c r="H49" s="218" t="s">
        <v>414</v>
      </c>
      <c r="I49" s="218" t="s">
        <v>414</v>
      </c>
      <c r="J49" s="284" t="s">
        <v>406</v>
      </c>
      <c r="K49" s="284" t="s">
        <v>412</v>
      </c>
      <c r="L49" s="218" t="s">
        <v>414</v>
      </c>
      <c r="M49" s="218" t="s">
        <v>414</v>
      </c>
      <c r="N49" s="327" t="s">
        <v>537</v>
      </c>
      <c r="O49" s="90" t="s">
        <v>29</v>
      </c>
      <c r="P49" s="100" t="s">
        <v>195</v>
      </c>
      <c r="Q49" s="215" t="s">
        <v>195</v>
      </c>
      <c r="R49" s="215" t="s">
        <v>195</v>
      </c>
      <c r="S49" s="215">
        <f ca="1">'Cost of Service and Proposed $'!Q124</f>
        <v>6439929.5569756301</v>
      </c>
    </row>
    <row r="50" spans="1:27">
      <c r="A50" s="227" t="s">
        <v>199</v>
      </c>
      <c r="B50" s="227" t="s">
        <v>203</v>
      </c>
      <c r="C50" s="393">
        <v>10</v>
      </c>
      <c r="D50" s="227">
        <v>1000</v>
      </c>
      <c r="E50" s="275">
        <f>C50*D50</f>
        <v>10000</v>
      </c>
      <c r="F50" s="268">
        <f t="shared" ref="F50:F67" si="1">IF(A50="Single",MAX(S$27*C50,S$19),MAX(SUMIFS(S$23:S$24,Q$23:Q$24,B50)+SUMIFS(S$25:S$27,Q$25:Q$27,B50)*C50,S$21))+S$28*E50</f>
        <v>1105.5</v>
      </c>
      <c r="G50" s="268">
        <f t="shared" ref="G50:G67" ca="1" si="2">IF(A50="Single",MAX(S$68*C50,S$60),MAX(SUMIFS(S$64:S$65,Q$64:Q$65,B50)+SUMIFS(S$66:S$68,Q$66:Q$68,B50)*C50,S$62))+S$69*E50</f>
        <v>1200.6999999999998</v>
      </c>
      <c r="H50" s="268">
        <f ca="1">G50-F50</f>
        <v>95.199999999999818</v>
      </c>
      <c r="I50" s="517">
        <f ca="1">H50/F50*100</f>
        <v>8.611488014473073</v>
      </c>
      <c r="J50" s="268">
        <f t="shared" ref="J50:J67" ca="1" si="3">IF(A50="Single",MAX(S$68*C50,S$60),MAX(SUMIFS(S$64:S$65,Q$64:Q$65,B50)+SUMIFS(S$66:S$68,Q$66:Q$68,B50)*C50,S$62))+S$69*E50</f>
        <v>1200.6999999999998</v>
      </c>
      <c r="K50" s="268">
        <f t="shared" ref="K50:K67" ca="1" si="4">IF(A50="Single",MAX(S$109*C50,S$101),MAX(SUMIFS(S$105:S$106,Q$105:Q$106,B50)+SUMIFS(S$107:S$109,Q$107:Q$109,B50)*C50,S$103))+S$110*E50</f>
        <v>1269.3000000000002</v>
      </c>
      <c r="L50" s="268">
        <f ca="1">K50-J50</f>
        <v>68.600000000000364</v>
      </c>
      <c r="M50" s="517">
        <f ca="1">L50/J50*100</f>
        <v>5.7133338885650353</v>
      </c>
      <c r="N50" s="327" t="s">
        <v>538</v>
      </c>
      <c r="O50" s="90" t="s">
        <v>29</v>
      </c>
      <c r="P50" s="100" t="s">
        <v>195</v>
      </c>
      <c r="Q50" s="215" t="s">
        <v>195</v>
      </c>
      <c r="R50" s="215" t="s">
        <v>195</v>
      </c>
      <c r="S50" s="215">
        <f ca="1">'Cost of Service and Proposed $'!Q125</f>
        <v>1720645.031188362</v>
      </c>
    </row>
    <row r="51" spans="1:27">
      <c r="A51" s="227" t="s">
        <v>199</v>
      </c>
      <c r="B51" s="227" t="s">
        <v>203</v>
      </c>
      <c r="C51" s="393">
        <v>10</v>
      </c>
      <c r="D51" s="141">
        <v>2000</v>
      </c>
      <c r="E51" s="275">
        <f t="shared" ref="E51:E67" si="5">C51*D51</f>
        <v>20000</v>
      </c>
      <c r="F51" s="141">
        <f t="shared" si="1"/>
        <v>1895.1999999999998</v>
      </c>
      <c r="G51" s="141">
        <f t="shared" ca="1" si="2"/>
        <v>2020.8999999999999</v>
      </c>
      <c r="H51" s="141">
        <f t="shared" ref="H51:H67" ca="1" si="6">G51-F51</f>
        <v>125.70000000000005</v>
      </c>
      <c r="I51" s="512">
        <f t="shared" ref="I51:I67" ca="1" si="7">H51/F51*100</f>
        <v>6.632545377796542</v>
      </c>
      <c r="J51" s="141">
        <f t="shared" ca="1" si="3"/>
        <v>2020.8999999999999</v>
      </c>
      <c r="K51" s="141">
        <f t="shared" ca="1" si="4"/>
        <v>2105.7000000000003</v>
      </c>
      <c r="L51" s="141">
        <f t="shared" ref="L51:L67" ca="1" si="8">K51-J51</f>
        <v>84.800000000000409</v>
      </c>
      <c r="M51" s="512">
        <f t="shared" ref="M51:M67" ca="1" si="9">L51/J51*100</f>
        <v>4.1961502300955225</v>
      </c>
      <c r="N51" s="310" t="s">
        <v>539</v>
      </c>
      <c r="O51" s="265" t="s">
        <v>29</v>
      </c>
      <c r="P51" s="152" t="s">
        <v>195</v>
      </c>
      <c r="Q51" s="216" t="s">
        <v>195</v>
      </c>
      <c r="R51" s="216" t="s">
        <v>195</v>
      </c>
      <c r="S51" s="216">
        <f ca="1">'Cost of Service and Proposed $'!Q126</f>
        <v>7906447.6582818218</v>
      </c>
    </row>
    <row r="52" spans="1:27">
      <c r="A52" s="227" t="s">
        <v>199</v>
      </c>
      <c r="B52" s="227" t="s">
        <v>203</v>
      </c>
      <c r="C52" s="393">
        <v>10</v>
      </c>
      <c r="D52" s="141">
        <v>3000</v>
      </c>
      <c r="E52" s="275">
        <f t="shared" si="5"/>
        <v>30000</v>
      </c>
      <c r="F52" s="141">
        <f t="shared" si="1"/>
        <v>2684.8999999999996</v>
      </c>
      <c r="G52" s="141">
        <f t="shared" ca="1" si="2"/>
        <v>2841.1</v>
      </c>
      <c r="H52" s="141">
        <f t="shared" ca="1" si="6"/>
        <v>156.20000000000027</v>
      </c>
      <c r="I52" s="512">
        <f t="shared" ca="1" si="7"/>
        <v>5.8177213304033781</v>
      </c>
      <c r="J52" s="141">
        <f t="shared" ca="1" si="3"/>
        <v>2841.1</v>
      </c>
      <c r="K52" s="141">
        <f t="shared" ca="1" si="4"/>
        <v>2942.1000000000004</v>
      </c>
      <c r="L52" s="141">
        <f t="shared" ca="1" si="8"/>
        <v>101.00000000000045</v>
      </c>
      <c r="M52" s="512">
        <f t="shared" ca="1" si="9"/>
        <v>3.5549611066136513</v>
      </c>
      <c r="N52" s="396" t="s">
        <v>534</v>
      </c>
      <c r="O52" s="264" t="s">
        <v>29</v>
      </c>
      <c r="P52" s="144" t="s">
        <v>195</v>
      </c>
      <c r="Q52" s="219" t="s">
        <v>195</v>
      </c>
      <c r="R52" s="219" t="s">
        <v>194</v>
      </c>
      <c r="S52" s="219">
        <f t="shared" ref="S52:S59" ca="1" si="10">(T52*(U52-V52)+V52*100)/100</f>
        <v>262750.16303876659</v>
      </c>
      <c r="T52" s="518">
        <v>10</v>
      </c>
      <c r="U52" s="140">
        <f ca="1">S48*(1-SUM(U55:U59)/SUM(S48:S51))</f>
        <v>389625.72003232688</v>
      </c>
      <c r="V52" s="140">
        <f ca="1">SUMIFS(S$33:S$42,R$33:R$42,R52)/SUM(S$33:S$42)*(SUM(S$48:S$51)-SUM(V$55:V$59))</f>
        <v>248652.87892837104</v>
      </c>
      <c r="W52" s="140"/>
      <c r="X52" s="140"/>
      <c r="Y52" s="140"/>
      <c r="Z52" s="140"/>
    </row>
    <row r="53" spans="1:27">
      <c r="A53" s="227" t="s">
        <v>200</v>
      </c>
      <c r="B53" s="227" t="s">
        <v>203</v>
      </c>
      <c r="C53" s="393">
        <v>20</v>
      </c>
      <c r="D53" s="227">
        <v>1000</v>
      </c>
      <c r="E53" s="275">
        <f t="shared" si="5"/>
        <v>20000</v>
      </c>
      <c r="F53" s="141">
        <f t="shared" si="1"/>
        <v>2211</v>
      </c>
      <c r="G53" s="141">
        <f t="shared" ca="1" si="2"/>
        <v>2401.3999999999996</v>
      </c>
      <c r="H53" s="141">
        <f t="shared" ca="1" si="6"/>
        <v>190.39999999999964</v>
      </c>
      <c r="I53" s="512">
        <f t="shared" ca="1" si="7"/>
        <v>8.611488014473073</v>
      </c>
      <c r="J53" s="141">
        <f t="shared" ca="1" si="3"/>
        <v>2401.3999999999996</v>
      </c>
      <c r="K53" s="141">
        <f t="shared" ca="1" si="4"/>
        <v>2538.6000000000004</v>
      </c>
      <c r="L53" s="141">
        <f t="shared" ca="1" si="8"/>
        <v>137.20000000000073</v>
      </c>
      <c r="M53" s="512">
        <f t="shared" ca="1" si="9"/>
        <v>5.7133338885650353</v>
      </c>
      <c r="N53" s="395" t="s">
        <v>534</v>
      </c>
      <c r="O53" s="90" t="s">
        <v>29</v>
      </c>
      <c r="P53" s="100" t="s">
        <v>195</v>
      </c>
      <c r="Q53" s="215" t="s">
        <v>195</v>
      </c>
      <c r="R53" s="215" t="s">
        <v>281</v>
      </c>
      <c r="S53" s="215">
        <f t="shared" ca="1" si="10"/>
        <v>3960919.3488291432</v>
      </c>
      <c r="T53" s="236">
        <f>$T$52</f>
        <v>10</v>
      </c>
      <c r="U53" s="140">
        <f ca="1">(S49+S50)*(1-SUM(U55:U59)/SUM(S48:S51))</f>
        <v>8999377.8865396753</v>
      </c>
      <c r="V53" s="140">
        <f ca="1">SUM(SUMIFS(S$33:S$42,R$33:R$42,R53),S33,S35)/SUM(S$33:S$42)*(SUM(S$48:S$51)-SUM(V$55:V$59))</f>
        <v>3401090.6224168618</v>
      </c>
      <c r="W53" s="140"/>
      <c r="X53" s="140"/>
      <c r="Y53" s="140"/>
      <c r="Z53" s="140"/>
    </row>
    <row r="54" spans="1:27">
      <c r="A54" s="227" t="s">
        <v>200</v>
      </c>
      <c r="B54" s="227" t="s">
        <v>203</v>
      </c>
      <c r="C54" s="393">
        <v>20</v>
      </c>
      <c r="D54" s="227">
        <v>2000</v>
      </c>
      <c r="E54" s="275">
        <f t="shared" si="5"/>
        <v>40000</v>
      </c>
      <c r="F54" s="141">
        <f t="shared" si="1"/>
        <v>3790.3999999999996</v>
      </c>
      <c r="G54" s="141">
        <f t="shared" ca="1" si="2"/>
        <v>4041.7999999999997</v>
      </c>
      <c r="H54" s="141">
        <f t="shared" ca="1" si="6"/>
        <v>251.40000000000009</v>
      </c>
      <c r="I54" s="512">
        <f t="shared" ca="1" si="7"/>
        <v>6.632545377796542</v>
      </c>
      <c r="J54" s="141">
        <f t="shared" ca="1" si="3"/>
        <v>4041.7999999999997</v>
      </c>
      <c r="K54" s="141">
        <f t="shared" ca="1" si="4"/>
        <v>4211.4000000000005</v>
      </c>
      <c r="L54" s="141">
        <f t="shared" ca="1" si="8"/>
        <v>169.60000000000082</v>
      </c>
      <c r="M54" s="512">
        <f t="shared" ca="1" si="9"/>
        <v>4.1961502300955225</v>
      </c>
      <c r="N54" s="395" t="s">
        <v>534</v>
      </c>
      <c r="O54" s="90" t="s">
        <v>29</v>
      </c>
      <c r="P54" s="100" t="s">
        <v>195</v>
      </c>
      <c r="Q54" s="215" t="s">
        <v>195</v>
      </c>
      <c r="R54" s="215" t="s">
        <v>6</v>
      </c>
      <c r="S54" s="215">
        <f t="shared" ca="1" si="10"/>
        <v>13884464.034429722</v>
      </c>
      <c r="T54" s="236">
        <f t="shared" ref="T54:T59" si="11">$T$52</f>
        <v>10</v>
      </c>
      <c r="U54" s="143">
        <f ca="1">S51*(1-SUM(U55:U59)/SUM(S48:S51))</f>
        <v>8719129.9397256318</v>
      </c>
      <c r="V54" s="143">
        <f ca="1">SUMIFS(S$33:S$42,R$33:R$42,R54)/SUM(S$33:S$42)*(SUM(S$48:S$51)-SUM(V$55:V$59))</f>
        <v>14458390.0449524</v>
      </c>
      <c r="W54" s="143"/>
      <c r="X54" s="143"/>
      <c r="Y54" s="143"/>
      <c r="Z54" s="143"/>
      <c r="AA54" s="159"/>
    </row>
    <row r="55" spans="1:27">
      <c r="A55" s="227" t="s">
        <v>200</v>
      </c>
      <c r="B55" s="227" t="s">
        <v>203</v>
      </c>
      <c r="C55" s="393">
        <v>20</v>
      </c>
      <c r="D55" s="227">
        <v>3000</v>
      </c>
      <c r="E55" s="275">
        <f t="shared" si="5"/>
        <v>60000</v>
      </c>
      <c r="F55" s="141">
        <f t="shared" si="1"/>
        <v>5369.7999999999993</v>
      </c>
      <c r="G55" s="141">
        <f t="shared" ca="1" si="2"/>
        <v>5682.2</v>
      </c>
      <c r="H55" s="141">
        <f t="shared" ca="1" si="6"/>
        <v>312.40000000000055</v>
      </c>
      <c r="I55" s="512">
        <f t="shared" ca="1" si="7"/>
        <v>5.8177213304033781</v>
      </c>
      <c r="J55" s="141">
        <f t="shared" ca="1" si="3"/>
        <v>5682.2</v>
      </c>
      <c r="K55" s="141">
        <f t="shared" ca="1" si="4"/>
        <v>5884.2000000000007</v>
      </c>
      <c r="L55" s="141">
        <f t="shared" ca="1" si="8"/>
        <v>202.00000000000091</v>
      </c>
      <c r="M55" s="512">
        <f t="shared" ca="1" si="9"/>
        <v>3.5549611066136513</v>
      </c>
      <c r="N55" s="395" t="s">
        <v>534</v>
      </c>
      <c r="O55" s="90" t="s">
        <v>29</v>
      </c>
      <c r="P55" s="100" t="s">
        <v>195</v>
      </c>
      <c r="Q55" s="215" t="s">
        <v>195</v>
      </c>
      <c r="R55" s="148" t="s">
        <v>201</v>
      </c>
      <c r="S55" s="215">
        <f t="shared" si="10"/>
        <v>40953.17</v>
      </c>
      <c r="T55" s="236">
        <f t="shared" si="11"/>
        <v>10</v>
      </c>
      <c r="U55" s="143">
        <f>S43</f>
        <v>40953.17</v>
      </c>
      <c r="V55" s="361">
        <f>S43</f>
        <v>40953.17</v>
      </c>
      <c r="W55" s="143"/>
      <c r="X55" s="143"/>
      <c r="Y55" s="143"/>
      <c r="Z55" s="143"/>
      <c r="AA55" s="159"/>
    </row>
    <row r="56" spans="1:27">
      <c r="A56" s="227" t="s">
        <v>200</v>
      </c>
      <c r="B56" s="227" t="s">
        <v>284</v>
      </c>
      <c r="C56" s="393">
        <v>100</v>
      </c>
      <c r="D56" s="227">
        <v>1000</v>
      </c>
      <c r="E56" s="275">
        <f t="shared" si="5"/>
        <v>100000</v>
      </c>
      <c r="F56" s="141">
        <f t="shared" si="1"/>
        <v>10543</v>
      </c>
      <c r="G56" s="141">
        <f t="shared" ca="1" si="2"/>
        <v>11714.17</v>
      </c>
      <c r="H56" s="141">
        <f t="shared" ca="1" si="6"/>
        <v>1171.17</v>
      </c>
      <c r="I56" s="512">
        <f t="shared" ca="1" si="7"/>
        <v>11.108508014796548</v>
      </c>
      <c r="J56" s="141">
        <f t="shared" ca="1" si="3"/>
        <v>11714.17</v>
      </c>
      <c r="K56" s="141">
        <f t="shared" ca="1" si="4"/>
        <v>12799.75</v>
      </c>
      <c r="L56" s="141">
        <f t="shared" ca="1" si="8"/>
        <v>1085.58</v>
      </c>
      <c r="M56" s="512">
        <f t="shared" ca="1" si="9"/>
        <v>9.2672378836912905</v>
      </c>
      <c r="N56" s="395" t="s">
        <v>534</v>
      </c>
      <c r="O56" s="90" t="s">
        <v>29</v>
      </c>
      <c r="P56" s="100" t="s">
        <v>195</v>
      </c>
      <c r="Q56" s="215" t="s">
        <v>195</v>
      </c>
      <c r="R56" s="173" t="s">
        <v>367</v>
      </c>
      <c r="S56" s="215">
        <f t="shared" si="10"/>
        <v>-228.4</v>
      </c>
      <c r="T56" s="236">
        <f t="shared" si="11"/>
        <v>10</v>
      </c>
      <c r="U56" s="143">
        <f>S44</f>
        <v>-228.4</v>
      </c>
      <c r="V56" s="361">
        <f>S44</f>
        <v>-228.4</v>
      </c>
      <c r="W56" s="143"/>
      <c r="X56" s="143"/>
      <c r="Y56" s="143"/>
      <c r="Z56" s="143"/>
      <c r="AA56" s="159"/>
    </row>
    <row r="57" spans="1:27">
      <c r="A57" s="227" t="s">
        <v>200</v>
      </c>
      <c r="B57" s="227" t="s">
        <v>284</v>
      </c>
      <c r="C57" s="393">
        <v>100</v>
      </c>
      <c r="D57" s="227">
        <v>2000</v>
      </c>
      <c r="E57" s="275">
        <f t="shared" si="5"/>
        <v>200000</v>
      </c>
      <c r="F57" s="141">
        <f t="shared" si="1"/>
        <v>18440</v>
      </c>
      <c r="G57" s="141">
        <f t="shared" ca="1" si="2"/>
        <v>19916.169999999998</v>
      </c>
      <c r="H57" s="141">
        <f t="shared" ca="1" si="6"/>
        <v>1476.1699999999983</v>
      </c>
      <c r="I57" s="512">
        <f t="shared" ca="1" si="7"/>
        <v>8.005260303687626</v>
      </c>
      <c r="J57" s="141">
        <f t="shared" ca="1" si="3"/>
        <v>19916.169999999998</v>
      </c>
      <c r="K57" s="141">
        <f t="shared" ca="1" si="4"/>
        <v>21163.75</v>
      </c>
      <c r="L57" s="141">
        <f t="shared" ca="1" si="8"/>
        <v>1247.5800000000017</v>
      </c>
      <c r="M57" s="512">
        <f t="shared" ca="1" si="9"/>
        <v>6.2641562107573989</v>
      </c>
      <c r="N57" s="395" t="s">
        <v>534</v>
      </c>
      <c r="O57" s="90" t="s">
        <v>29</v>
      </c>
      <c r="P57" s="100" t="s">
        <v>195</v>
      </c>
      <c r="Q57" s="215" t="s">
        <v>195</v>
      </c>
      <c r="R57" s="173" t="s">
        <v>358</v>
      </c>
      <c r="S57" s="215">
        <f t="shared" si="10"/>
        <v>-256.12</v>
      </c>
      <c r="T57" s="236">
        <f t="shared" si="11"/>
        <v>10</v>
      </c>
      <c r="U57" s="143">
        <f>S45</f>
        <v>-256.12</v>
      </c>
      <c r="V57" s="361">
        <f>S45</f>
        <v>-256.12</v>
      </c>
      <c r="W57" s="143"/>
      <c r="X57" s="143"/>
      <c r="Y57" s="143"/>
      <c r="Z57" s="143"/>
      <c r="AA57" s="159"/>
    </row>
    <row r="58" spans="1:27">
      <c r="A58" s="227" t="s">
        <v>200</v>
      </c>
      <c r="B58" s="227" t="s">
        <v>284</v>
      </c>
      <c r="C58" s="393">
        <v>100</v>
      </c>
      <c r="D58" s="227">
        <v>3000</v>
      </c>
      <c r="E58" s="275">
        <f t="shared" si="5"/>
        <v>300000</v>
      </c>
      <c r="F58" s="141">
        <f t="shared" si="1"/>
        <v>26337</v>
      </c>
      <c r="G58" s="141">
        <f t="shared" ca="1" si="2"/>
        <v>28118.17</v>
      </c>
      <c r="H58" s="141">
        <f t="shared" ca="1" si="6"/>
        <v>1781.1699999999983</v>
      </c>
      <c r="I58" s="512">
        <f t="shared" ca="1" si="7"/>
        <v>6.7629950260090306</v>
      </c>
      <c r="J58" s="141">
        <f t="shared" ca="1" si="3"/>
        <v>28118.17</v>
      </c>
      <c r="K58" s="141">
        <f t="shared" ca="1" si="4"/>
        <v>29527.75</v>
      </c>
      <c r="L58" s="141">
        <f t="shared" ca="1" si="8"/>
        <v>1409.5800000000017</v>
      </c>
      <c r="M58" s="512">
        <f t="shared" ca="1" si="9"/>
        <v>5.0130573931376112</v>
      </c>
      <c r="N58" s="395" t="s">
        <v>534</v>
      </c>
      <c r="O58" s="90" t="s">
        <v>29</v>
      </c>
      <c r="P58" s="100" t="s">
        <v>195</v>
      </c>
      <c r="Q58" s="215" t="s">
        <v>195</v>
      </c>
      <c r="R58" s="173" t="s">
        <v>368</v>
      </c>
      <c r="S58" s="215">
        <f t="shared" si="10"/>
        <v>730.00000000000011</v>
      </c>
      <c r="T58" s="236">
        <f t="shared" si="11"/>
        <v>10</v>
      </c>
      <c r="U58" s="143">
        <f>S46</f>
        <v>730.00000000000011</v>
      </c>
      <c r="V58" s="361">
        <f>S46</f>
        <v>730.00000000000011</v>
      </c>
      <c r="W58" s="143"/>
      <c r="X58" s="143"/>
      <c r="Y58" s="143"/>
      <c r="Z58" s="143"/>
      <c r="AA58" s="159"/>
    </row>
    <row r="59" spans="1:27">
      <c r="A59" s="227" t="s">
        <v>200</v>
      </c>
      <c r="B59" s="227" t="s">
        <v>284</v>
      </c>
      <c r="C59" s="393">
        <v>250</v>
      </c>
      <c r="D59" s="227">
        <v>1000</v>
      </c>
      <c r="E59" s="275">
        <f t="shared" si="5"/>
        <v>250000</v>
      </c>
      <c r="F59" s="141">
        <f t="shared" si="1"/>
        <v>25684</v>
      </c>
      <c r="G59" s="141">
        <f t="shared" ca="1" si="2"/>
        <v>28515.67</v>
      </c>
      <c r="H59" s="141">
        <f t="shared" ca="1" si="6"/>
        <v>2831.6699999999983</v>
      </c>
      <c r="I59" s="512">
        <f t="shared" ca="1" si="7"/>
        <v>11.025035041270824</v>
      </c>
      <c r="J59" s="141">
        <f t="shared" ca="1" si="3"/>
        <v>28515.67</v>
      </c>
      <c r="K59" s="141">
        <f t="shared" ca="1" si="4"/>
        <v>31144.75</v>
      </c>
      <c r="L59" s="141">
        <f t="shared" ca="1" si="8"/>
        <v>2629.0800000000017</v>
      </c>
      <c r="M59" s="512">
        <f t="shared" ca="1" si="9"/>
        <v>9.2197728477009377</v>
      </c>
      <c r="N59" s="397" t="s">
        <v>534</v>
      </c>
      <c r="O59" s="265" t="s">
        <v>29</v>
      </c>
      <c r="P59" s="152" t="s">
        <v>195</v>
      </c>
      <c r="Q59" s="216" t="s">
        <v>195</v>
      </c>
      <c r="R59" s="216" t="s">
        <v>168</v>
      </c>
      <c r="S59" s="216">
        <f t="shared" si="10"/>
        <v>-1729000</v>
      </c>
      <c r="T59" s="236">
        <f t="shared" si="11"/>
        <v>10</v>
      </c>
      <c r="U59" s="143">
        <f>S47</f>
        <v>-1729000</v>
      </c>
      <c r="V59" s="361">
        <f>S47</f>
        <v>-1729000</v>
      </c>
      <c r="W59" s="143"/>
      <c r="X59" s="143"/>
      <c r="Y59" s="143"/>
      <c r="Z59" s="143"/>
      <c r="AA59" s="159"/>
    </row>
    <row r="60" spans="1:27">
      <c r="A60" s="227" t="s">
        <v>200</v>
      </c>
      <c r="B60" s="227" t="s">
        <v>284</v>
      </c>
      <c r="C60" s="393">
        <v>250</v>
      </c>
      <c r="D60" s="227">
        <v>2000</v>
      </c>
      <c r="E60" s="275">
        <f t="shared" si="5"/>
        <v>500000</v>
      </c>
      <c r="F60" s="141">
        <f t="shared" si="1"/>
        <v>45426.5</v>
      </c>
      <c r="G60" s="141">
        <f t="shared" ca="1" si="2"/>
        <v>49020.67</v>
      </c>
      <c r="H60" s="141">
        <f t="shared" ca="1" si="6"/>
        <v>3594.1699999999983</v>
      </c>
      <c r="I60" s="512">
        <f t="shared" ca="1" si="7"/>
        <v>7.912055738390583</v>
      </c>
      <c r="J60" s="141">
        <f t="shared" ca="1" si="3"/>
        <v>49020.67</v>
      </c>
      <c r="K60" s="141">
        <f t="shared" ca="1" si="4"/>
        <v>52054.75</v>
      </c>
      <c r="L60" s="141">
        <f t="shared" ca="1" si="8"/>
        <v>3034.0800000000017</v>
      </c>
      <c r="M60" s="512">
        <f t="shared" ca="1" si="9"/>
        <v>6.1893890883172382</v>
      </c>
      <c r="N60" s="219" t="s">
        <v>505</v>
      </c>
      <c r="O60" s="145" t="s">
        <v>403</v>
      </c>
      <c r="P60" s="144" t="s">
        <v>199</v>
      </c>
      <c r="Q60" s="144" t="s">
        <v>195</v>
      </c>
      <c r="R60" s="144" t="s">
        <v>285</v>
      </c>
      <c r="S60" s="323">
        <f ca="1">ROUND(T60/100*W60*X60/Y60/Z60,U60)*AA60</f>
        <v>114.14999999999999</v>
      </c>
      <c r="T60" s="267">
        <f>100+Summary!$Q$13</f>
        <v>96.54</v>
      </c>
      <c r="U60" s="143">
        <v>2</v>
      </c>
      <c r="V60" s="278">
        <f ca="1">W60*X60/Y60/Z60*AA60</f>
        <v>118.23015408513569</v>
      </c>
      <c r="W60" s="143">
        <f ca="1">SUMIFS(S$52:S$59,R$52:R$59,R68)</f>
        <v>3960919.3488291432</v>
      </c>
      <c r="X60" s="143">
        <f>SUMIFS(S$33:S$47,P$33:P$47,P68,Q$33:Q$47,Q68,R$33:R$47,R68)</f>
        <v>1762366.8614344695</v>
      </c>
      <c r="Y60" s="143">
        <f>SUMIFS(S$33:S$47,R$33:R$47,R68)</f>
        <v>2801199.2203635806</v>
      </c>
      <c r="Z60" s="143">
        <f>S$5*AA60+S$7*AA62+S$13*AA68</f>
        <v>63232.640813036785</v>
      </c>
      <c r="AA60" s="143">
        <v>3</v>
      </c>
    </row>
    <row r="61" spans="1:27">
      <c r="A61" s="227" t="s">
        <v>200</v>
      </c>
      <c r="B61" s="227" t="s">
        <v>284</v>
      </c>
      <c r="C61" s="393">
        <v>250</v>
      </c>
      <c r="D61" s="227">
        <v>3000</v>
      </c>
      <c r="E61" s="275">
        <f t="shared" si="5"/>
        <v>750000</v>
      </c>
      <c r="F61" s="141">
        <f t="shared" si="1"/>
        <v>65169</v>
      </c>
      <c r="G61" s="141">
        <f t="shared" ca="1" si="2"/>
        <v>69525.67</v>
      </c>
      <c r="H61" s="141">
        <f t="shared" ca="1" si="6"/>
        <v>4356.6699999999983</v>
      </c>
      <c r="I61" s="512">
        <f t="shared" ca="1" si="7"/>
        <v>6.6851877426383686</v>
      </c>
      <c r="J61" s="141">
        <f t="shared" ca="1" si="3"/>
        <v>69525.67</v>
      </c>
      <c r="K61" s="141">
        <f t="shared" ca="1" si="4"/>
        <v>72964.75</v>
      </c>
      <c r="L61" s="141">
        <f t="shared" ca="1" si="8"/>
        <v>3439.0800000000017</v>
      </c>
      <c r="M61" s="512">
        <f t="shared" ca="1" si="9"/>
        <v>4.9464895483927043</v>
      </c>
      <c r="N61" s="215" t="s">
        <v>505</v>
      </c>
      <c r="O61" s="102" t="s">
        <v>403</v>
      </c>
      <c r="P61" s="100" t="s">
        <v>199</v>
      </c>
      <c r="Q61" s="100" t="s">
        <v>195</v>
      </c>
      <c r="R61" s="100" t="s">
        <v>194</v>
      </c>
      <c r="S61" s="324">
        <f t="shared" ref="S61:S73" ca="1" si="12">ROUND(T61/100*W61*X61/Y61/Z61,U61)*AA61</f>
        <v>0</v>
      </c>
      <c r="T61" s="267">
        <f>100+Summary!$Q$13</f>
        <v>96.54</v>
      </c>
      <c r="U61" s="143">
        <v>2</v>
      </c>
      <c r="V61" s="278">
        <f t="shared" ref="V61:V73" ca="1" si="13">W61*X61/Y61/Z61*AA61</f>
        <v>0</v>
      </c>
      <c r="W61" s="143">
        <f ca="1">SUMIFS(S$52:S$59,R$52:R$59,R61)</f>
        <v>262750.16303876659</v>
      </c>
      <c r="X61" s="143">
        <f>SUMIFS(S$33:S$47,P$33:P$47,P61,Q$33:Q$47,Q61,R$33:R$47,R61)</f>
        <v>0</v>
      </c>
      <c r="Y61" s="143">
        <f>SUMIFS(S$33:S$47,R$33:R$47,R61)</f>
        <v>221940.66301369847</v>
      </c>
      <c r="Z61" s="143">
        <f>SUMIFS(S$5:S$18,P$5:P$18,P61,Q$5:Q$18,Q61,R$5:R$18,R61)</f>
        <v>495.84657534246583</v>
      </c>
      <c r="AA61" s="143">
        <v>1</v>
      </c>
    </row>
    <row r="62" spans="1:27">
      <c r="A62" s="227" t="s">
        <v>200</v>
      </c>
      <c r="B62" s="227" t="s">
        <v>204</v>
      </c>
      <c r="C62" s="393">
        <v>400</v>
      </c>
      <c r="D62" s="227">
        <v>1000</v>
      </c>
      <c r="E62" s="275">
        <f t="shared" si="5"/>
        <v>400000</v>
      </c>
      <c r="F62" s="141">
        <f t="shared" si="1"/>
        <v>40285</v>
      </c>
      <c r="G62" s="141">
        <f t="shared" ca="1" si="2"/>
        <v>44273.82</v>
      </c>
      <c r="H62" s="141">
        <f t="shared" ca="1" si="6"/>
        <v>3988.8199999999997</v>
      </c>
      <c r="I62" s="512">
        <f t="shared" ca="1" si="7"/>
        <v>9.9015017996772983</v>
      </c>
      <c r="J62" s="141">
        <f t="shared" ca="1" si="3"/>
        <v>44273.82</v>
      </c>
      <c r="K62" s="141">
        <f t="shared" ca="1" si="4"/>
        <v>47863.79</v>
      </c>
      <c r="L62" s="141">
        <f t="shared" ca="1" si="8"/>
        <v>3589.9700000000012</v>
      </c>
      <c r="M62" s="512">
        <f t="shared" ca="1" si="9"/>
        <v>8.1085616736933961</v>
      </c>
      <c r="N62" s="215" t="s">
        <v>505</v>
      </c>
      <c r="O62" s="102" t="s">
        <v>403</v>
      </c>
      <c r="P62" s="100" t="s">
        <v>200</v>
      </c>
      <c r="Q62" s="100" t="s">
        <v>203</v>
      </c>
      <c r="R62" s="100" t="s">
        <v>285</v>
      </c>
      <c r="S62" s="324">
        <f t="shared" ca="1" si="12"/>
        <v>228.29999999999998</v>
      </c>
      <c r="T62" s="267">
        <f>100+Summary!$Q$13</f>
        <v>96.54</v>
      </c>
      <c r="U62" s="143">
        <v>2</v>
      </c>
      <c r="V62" s="278">
        <f t="shared" ca="1" si="13"/>
        <v>236.46030817027139</v>
      </c>
      <c r="W62" s="143">
        <f ca="1">SUMIFS(S$52:S$59,R$52:R$59,R68)</f>
        <v>3960919.3488291432</v>
      </c>
      <c r="X62" s="143">
        <f>SUMIFS(S$33:S$47,P$33:P$47,P68,Q$33:Q$47,Q68,R$33:R$47,R68)</f>
        <v>1762366.8614344695</v>
      </c>
      <c r="Y62" s="143">
        <f>SUMIFS(S$33:S$47,R$33:R$47,R68)</f>
        <v>2801199.2203635806</v>
      </c>
      <c r="Z62" s="143">
        <f>S$5*AA60+S$7*AA62+S$13*AA68</f>
        <v>63232.640813036785</v>
      </c>
      <c r="AA62" s="143">
        <v>6</v>
      </c>
    </row>
    <row r="63" spans="1:27">
      <c r="A63" s="227" t="s">
        <v>200</v>
      </c>
      <c r="B63" s="227" t="s">
        <v>204</v>
      </c>
      <c r="C63" s="393">
        <v>400</v>
      </c>
      <c r="D63" s="227">
        <v>2000</v>
      </c>
      <c r="E63" s="275">
        <f t="shared" si="5"/>
        <v>800000</v>
      </c>
      <c r="F63" s="141">
        <f t="shared" si="1"/>
        <v>71873</v>
      </c>
      <c r="G63" s="141">
        <f t="shared" ca="1" si="2"/>
        <v>77081.820000000007</v>
      </c>
      <c r="H63" s="141">
        <f t="shared" ca="1" si="6"/>
        <v>5208.820000000007</v>
      </c>
      <c r="I63" s="512">
        <f t="shared" ca="1" si="7"/>
        <v>7.247255575807336</v>
      </c>
      <c r="J63" s="141">
        <f t="shared" ca="1" si="3"/>
        <v>77081.820000000007</v>
      </c>
      <c r="K63" s="141">
        <f t="shared" ca="1" si="4"/>
        <v>81319.790000000008</v>
      </c>
      <c r="L63" s="141">
        <f t="shared" ca="1" si="8"/>
        <v>4237.9700000000012</v>
      </c>
      <c r="M63" s="512">
        <f t="shared" ca="1" si="9"/>
        <v>5.4980149664343694</v>
      </c>
      <c r="N63" s="215" t="s">
        <v>505</v>
      </c>
      <c r="O63" s="102" t="s">
        <v>403</v>
      </c>
      <c r="P63" s="100" t="s">
        <v>200</v>
      </c>
      <c r="Q63" s="100" t="s">
        <v>203</v>
      </c>
      <c r="R63" s="100" t="s">
        <v>194</v>
      </c>
      <c r="S63" s="324">
        <f t="shared" ca="1" si="12"/>
        <v>0</v>
      </c>
      <c r="T63" s="267">
        <f>100+Summary!$Q$13</f>
        <v>96.54</v>
      </c>
      <c r="U63" s="143">
        <v>2</v>
      </c>
      <c r="V63" s="278">
        <f t="shared" ca="1" si="13"/>
        <v>0</v>
      </c>
      <c r="W63" s="143">
        <f t="shared" ref="W63:W73" ca="1" si="14">SUMIFS(S$52:S$59,R$52:R$59,R63)</f>
        <v>262750.16303876659</v>
      </c>
      <c r="X63" s="143">
        <f t="shared" ref="X63:X68" si="15">SUMIFS(S$33:S$47,P$33:P$47,P63,Q$33:Q$47,Q63,R$33:R$47,R63)</f>
        <v>0</v>
      </c>
      <c r="Y63" s="143">
        <f t="shared" ref="Y63:Y68" si="16">SUMIFS(S$33:S$47,R$33:R$47,R63)</f>
        <v>221940.66301369847</v>
      </c>
      <c r="Z63" s="143">
        <f>SUMIFS(S$5:S$18,P$5:P$18,P63,Q$5:Q$18,Q63,R$5:R$18,R63)</f>
        <v>2698.3863013698633</v>
      </c>
      <c r="AA63" s="143">
        <v>1</v>
      </c>
    </row>
    <row r="64" spans="1:27">
      <c r="A64" s="227" t="s">
        <v>200</v>
      </c>
      <c r="B64" s="227" t="s">
        <v>204</v>
      </c>
      <c r="C64" s="393">
        <v>400</v>
      </c>
      <c r="D64" s="227">
        <v>3000</v>
      </c>
      <c r="E64" s="275">
        <f t="shared" si="5"/>
        <v>1200000</v>
      </c>
      <c r="F64" s="141">
        <f t="shared" si="1"/>
        <v>103461</v>
      </c>
      <c r="G64" s="141">
        <f t="shared" ca="1" si="2"/>
        <v>109889.82</v>
      </c>
      <c r="H64" s="141">
        <f t="shared" ca="1" si="6"/>
        <v>6428.820000000007</v>
      </c>
      <c r="I64" s="512">
        <f t="shared" ca="1" si="7"/>
        <v>6.2137617073100078</v>
      </c>
      <c r="J64" s="141">
        <f t="shared" ca="1" si="3"/>
        <v>109889.82</v>
      </c>
      <c r="K64" s="141">
        <f t="shared" ca="1" si="4"/>
        <v>114775.79000000001</v>
      </c>
      <c r="L64" s="141">
        <f t="shared" ca="1" si="8"/>
        <v>4885.9700000000012</v>
      </c>
      <c r="M64" s="512">
        <f t="shared" ca="1" si="9"/>
        <v>4.4462444291928049</v>
      </c>
      <c r="N64" s="215" t="s">
        <v>505</v>
      </c>
      <c r="O64" s="102" t="s">
        <v>403</v>
      </c>
      <c r="P64" s="100" t="s">
        <v>200</v>
      </c>
      <c r="Q64" s="100" t="s">
        <v>284</v>
      </c>
      <c r="R64" s="100" t="s">
        <v>194</v>
      </c>
      <c r="S64" s="324">
        <f t="shared" ca="1" si="12"/>
        <v>513.16999999999996</v>
      </c>
      <c r="T64" s="267">
        <f>100+Summary!$Q$13</f>
        <v>96.54</v>
      </c>
      <c r="U64" s="143">
        <v>2</v>
      </c>
      <c r="V64" s="278">
        <f t="shared" ca="1" si="13"/>
        <v>531.56019993111693</v>
      </c>
      <c r="W64" s="143">
        <f t="shared" ca="1" si="14"/>
        <v>262750.16303876659</v>
      </c>
      <c r="X64" s="143">
        <f t="shared" si="15"/>
        <v>198215.66301369847</v>
      </c>
      <c r="Y64" s="143">
        <f t="shared" si="16"/>
        <v>221940.66301369847</v>
      </c>
      <c r="Z64" s="143">
        <f>SUMIFS(S$5:S$18,P$5:P$18,P64,Q$5:Q$18,Q64,R$5:R$18,R64)</f>
        <v>441.46027397260241</v>
      </c>
      <c r="AA64" s="143">
        <v>1</v>
      </c>
    </row>
    <row r="65" spans="1:27">
      <c r="A65" s="227" t="s">
        <v>200</v>
      </c>
      <c r="B65" s="227" t="s">
        <v>204</v>
      </c>
      <c r="C65" s="393">
        <v>600</v>
      </c>
      <c r="D65" s="227">
        <v>1000</v>
      </c>
      <c r="E65" s="275">
        <f t="shared" si="5"/>
        <v>600000</v>
      </c>
      <c r="F65" s="141">
        <f t="shared" si="1"/>
        <v>59515</v>
      </c>
      <c r="G65" s="141">
        <f t="shared" ca="1" si="2"/>
        <v>65367.82</v>
      </c>
      <c r="H65" s="141">
        <f t="shared" ca="1" si="6"/>
        <v>5852.82</v>
      </c>
      <c r="I65" s="512">
        <f t="shared" ca="1" si="7"/>
        <v>9.8341930605729644</v>
      </c>
      <c r="J65" s="141">
        <f t="shared" ca="1" si="3"/>
        <v>65367.82</v>
      </c>
      <c r="K65" s="141">
        <f t="shared" ca="1" si="4"/>
        <v>70637.790000000008</v>
      </c>
      <c r="L65" s="141">
        <f t="shared" ca="1" si="8"/>
        <v>5269.9700000000084</v>
      </c>
      <c r="M65" s="512">
        <f t="shared" ca="1" si="9"/>
        <v>8.0620250147549797</v>
      </c>
      <c r="N65" s="215" t="s">
        <v>505</v>
      </c>
      <c r="O65" s="102" t="s">
        <v>403</v>
      </c>
      <c r="P65" s="100" t="s">
        <v>200</v>
      </c>
      <c r="Q65" s="100" t="s">
        <v>204</v>
      </c>
      <c r="R65" s="100" t="s">
        <v>194</v>
      </c>
      <c r="S65" s="324">
        <f t="shared" ca="1" si="12"/>
        <v>2085.8200000000002</v>
      </c>
      <c r="T65" s="267">
        <f>100+Summary!$Q$13</f>
        <v>96.54</v>
      </c>
      <c r="U65" s="143">
        <v>2</v>
      </c>
      <c r="V65" s="278">
        <f t="shared" ca="1" si="13"/>
        <v>2160.5731957111097</v>
      </c>
      <c r="W65" s="143">
        <f t="shared" ca="1" si="14"/>
        <v>262750.16303876659</v>
      </c>
      <c r="X65" s="143">
        <f t="shared" si="15"/>
        <v>23724.999999999993</v>
      </c>
      <c r="Y65" s="143">
        <f t="shared" si="16"/>
        <v>221940.66301369847</v>
      </c>
      <c r="Z65" s="143">
        <f>SUMIFS(S$5:S$18,P$5:P$18,P65,Q$5:Q$18,Q65,R$5:R$18,R65)</f>
        <v>12.999999999999996</v>
      </c>
      <c r="AA65" s="143">
        <v>1</v>
      </c>
    </row>
    <row r="66" spans="1:27">
      <c r="A66" s="227" t="s">
        <v>200</v>
      </c>
      <c r="B66" s="227" t="s">
        <v>204</v>
      </c>
      <c r="C66" s="393">
        <v>600</v>
      </c>
      <c r="D66" s="227">
        <v>2000</v>
      </c>
      <c r="E66" s="275">
        <f t="shared" si="5"/>
        <v>1200000</v>
      </c>
      <c r="F66" s="141">
        <f t="shared" si="1"/>
        <v>106897</v>
      </c>
      <c r="G66" s="141">
        <f t="shared" ca="1" si="2"/>
        <v>114579.82</v>
      </c>
      <c r="H66" s="141">
        <f t="shared" ca="1" si="6"/>
        <v>7682.820000000007</v>
      </c>
      <c r="I66" s="512">
        <f t="shared" ca="1" si="7"/>
        <v>7.1871240539959098</v>
      </c>
      <c r="J66" s="141">
        <f t="shared" ca="1" si="3"/>
        <v>114579.82</v>
      </c>
      <c r="K66" s="141">
        <f t="shared" ca="1" si="4"/>
        <v>120821.79000000001</v>
      </c>
      <c r="L66" s="141">
        <f t="shared" ca="1" si="8"/>
        <v>6241.9700000000012</v>
      </c>
      <c r="M66" s="512">
        <f t="shared" ca="1" si="9"/>
        <v>5.447704491070068</v>
      </c>
      <c r="N66" s="215" t="s">
        <v>505</v>
      </c>
      <c r="O66" s="102" t="s">
        <v>403</v>
      </c>
      <c r="P66" s="100" t="s">
        <v>200</v>
      </c>
      <c r="Q66" s="100" t="s">
        <v>284</v>
      </c>
      <c r="R66" s="100" t="s">
        <v>281</v>
      </c>
      <c r="S66" s="324">
        <f t="shared" ca="1" si="12"/>
        <v>29.99</v>
      </c>
      <c r="T66" s="267">
        <f>100+Summary!$Q$13</f>
        <v>96.54</v>
      </c>
      <c r="U66" s="143">
        <v>2</v>
      </c>
      <c r="V66" s="278">
        <f t="shared" ca="1" si="13"/>
        <v>31.065765498278754</v>
      </c>
      <c r="W66" s="143">
        <f t="shared" ca="1" si="14"/>
        <v>3960919.3488291432</v>
      </c>
      <c r="X66" s="143">
        <f t="shared" si="15"/>
        <v>940459.66862658795</v>
      </c>
      <c r="Y66" s="143">
        <f t="shared" si="16"/>
        <v>2801199.2203635806</v>
      </c>
      <c r="Z66" s="143">
        <f>SUMIFS(S$5:S$18,P$5:P$18,P66,Q$5:Q$18,Q66,R$5:R$18,R66)</f>
        <v>42806.539309357671</v>
      </c>
      <c r="AA66" s="143">
        <v>1</v>
      </c>
    </row>
    <row r="67" spans="1:27">
      <c r="A67" s="337" t="s">
        <v>200</v>
      </c>
      <c r="B67" s="337" t="s">
        <v>204</v>
      </c>
      <c r="C67" s="394">
        <v>600</v>
      </c>
      <c r="D67" s="337">
        <v>3000</v>
      </c>
      <c r="E67" s="321">
        <f t="shared" si="5"/>
        <v>1800000</v>
      </c>
      <c r="F67" s="142">
        <f t="shared" si="1"/>
        <v>154279</v>
      </c>
      <c r="G67" s="142">
        <f t="shared" ca="1" si="2"/>
        <v>163791.82</v>
      </c>
      <c r="H67" s="142">
        <f t="shared" ca="1" si="6"/>
        <v>9512.820000000007</v>
      </c>
      <c r="I67" s="513">
        <f t="shared" ca="1" si="7"/>
        <v>6.1659850011991306</v>
      </c>
      <c r="J67" s="142">
        <f t="shared" ca="1" si="3"/>
        <v>163791.82</v>
      </c>
      <c r="K67" s="142">
        <f t="shared" ca="1" si="4"/>
        <v>171005.79</v>
      </c>
      <c r="L67" s="142">
        <f t="shared" ca="1" si="8"/>
        <v>7213.9700000000012</v>
      </c>
      <c r="M67" s="513">
        <f t="shared" ca="1" si="9"/>
        <v>4.4043530378989626</v>
      </c>
      <c r="N67" s="215" t="s">
        <v>505</v>
      </c>
      <c r="O67" s="102" t="s">
        <v>403</v>
      </c>
      <c r="P67" s="100" t="s">
        <v>200</v>
      </c>
      <c r="Q67" s="100" t="s">
        <v>204</v>
      </c>
      <c r="R67" s="100" t="s">
        <v>281</v>
      </c>
      <c r="S67" s="324">
        <f t="shared" ca="1" si="12"/>
        <v>23.45</v>
      </c>
      <c r="T67" s="267">
        <f>100+Summary!$Q$13</f>
        <v>96.54</v>
      </c>
      <c r="U67" s="143">
        <v>2</v>
      </c>
      <c r="V67" s="278">
        <f t="shared" ca="1" si="13"/>
        <v>24.292665055094634</v>
      </c>
      <c r="W67" s="143">
        <f t="shared" ca="1" si="14"/>
        <v>3960919.3488291432</v>
      </c>
      <c r="X67" s="143">
        <f t="shared" si="15"/>
        <v>98372.690302523217</v>
      </c>
      <c r="Y67" s="143">
        <f t="shared" si="16"/>
        <v>2801199.2203635806</v>
      </c>
      <c r="Z67" s="143">
        <f>SUMIFS(S$5:S$18,P$5:P$18,P67,Q$5:Q$18,Q67,R$5:R$18,R67)</f>
        <v>5726.0005996812115</v>
      </c>
      <c r="AA67" s="143">
        <v>1</v>
      </c>
    </row>
    <row r="68" spans="1:27">
      <c r="A68" s="431" t="s">
        <v>510</v>
      </c>
      <c r="B68" s="433"/>
      <c r="C68" s="433"/>
      <c r="D68" s="433"/>
      <c r="E68" s="433"/>
      <c r="F68" s="433"/>
      <c r="G68" s="433"/>
      <c r="H68" s="433"/>
      <c r="I68" s="433"/>
      <c r="J68" s="433"/>
      <c r="K68" s="433"/>
      <c r="L68" s="433"/>
      <c r="M68" s="434"/>
      <c r="N68" s="215" t="s">
        <v>505</v>
      </c>
      <c r="O68" s="102" t="s">
        <v>403</v>
      </c>
      <c r="P68" s="100" t="s">
        <v>195</v>
      </c>
      <c r="Q68" s="100" t="s">
        <v>203</v>
      </c>
      <c r="R68" s="100" t="s">
        <v>281</v>
      </c>
      <c r="S68" s="324">
        <f t="shared" ca="1" si="12"/>
        <v>38.049999999999997</v>
      </c>
      <c r="T68" s="267">
        <f>100+Summary!$Q$13</f>
        <v>96.54</v>
      </c>
      <c r="U68" s="143">
        <v>2</v>
      </c>
      <c r="V68" s="278">
        <f ca="1">W68*X68/Y68/Z68*AA68</f>
        <v>39.410051361711901</v>
      </c>
      <c r="W68" s="143">
        <f t="shared" ca="1" si="14"/>
        <v>3960919.3488291432</v>
      </c>
      <c r="X68" s="143">
        <f t="shared" si="15"/>
        <v>1762366.8614344695</v>
      </c>
      <c r="Y68" s="143">
        <f t="shared" si="16"/>
        <v>2801199.2203635806</v>
      </c>
      <c r="Z68" s="143">
        <f>S$5*AA60+S$7*AA62+S$13*AA68</f>
        <v>63232.640813036785</v>
      </c>
      <c r="AA68" s="143">
        <v>1</v>
      </c>
    </row>
    <row r="69" spans="1:27">
      <c r="N69" s="215" t="s">
        <v>505</v>
      </c>
      <c r="O69" s="102" t="s">
        <v>403</v>
      </c>
      <c r="P69" s="100" t="s">
        <v>195</v>
      </c>
      <c r="Q69" s="100" t="s">
        <v>195</v>
      </c>
      <c r="R69" s="100" t="s">
        <v>6</v>
      </c>
      <c r="S69" s="324">
        <f t="shared" ca="1" si="12"/>
        <v>8.2019999999999996E-2</v>
      </c>
      <c r="T69" s="267">
        <f>100+Summary!$Q$13</f>
        <v>96.54</v>
      </c>
      <c r="U69" s="143">
        <v>5</v>
      </c>
      <c r="V69" s="278">
        <f t="shared" ca="1" si="13"/>
        <v>8.496262739446464E-2</v>
      </c>
      <c r="W69" s="143">
        <f t="shared" ca="1" si="14"/>
        <v>13884464.034429722</v>
      </c>
      <c r="X69" s="143">
        <v>1</v>
      </c>
      <c r="Y69" s="143">
        <v>1</v>
      </c>
      <c r="Z69" s="143">
        <f>SUMIFS(S$5:S$18,P$5:P$18,P69,Q$5:Q$18,Q69,R$5:R$18,R69)</f>
        <v>163418487.16573825</v>
      </c>
      <c r="AA69" s="143">
        <v>1</v>
      </c>
    </row>
    <row r="70" spans="1:27">
      <c r="N70" s="215" t="s">
        <v>505</v>
      </c>
      <c r="O70" s="102" t="s">
        <v>403</v>
      </c>
      <c r="P70" s="100" t="s">
        <v>195</v>
      </c>
      <c r="Q70" s="100" t="s">
        <v>195</v>
      </c>
      <c r="R70" s="100" t="s">
        <v>201</v>
      </c>
      <c r="S70" s="324">
        <f t="shared" si="12"/>
        <v>0.56000000000000005</v>
      </c>
      <c r="T70" s="267">
        <f>100+Summary!$Q$13</f>
        <v>96.54</v>
      </c>
      <c r="U70" s="143">
        <v>2</v>
      </c>
      <c r="V70" s="278">
        <f t="shared" si="13"/>
        <v>0.57999999999999996</v>
      </c>
      <c r="W70" s="143">
        <f t="shared" si="14"/>
        <v>40953.17</v>
      </c>
      <c r="X70" s="143">
        <v>1</v>
      </c>
      <c r="Y70" s="143">
        <v>1</v>
      </c>
      <c r="Z70" s="143">
        <f>SUMIFS(S$5:S$18,P$5:P$18,P70,Q$5:Q$18,Q70,R$5:R$18,R70)</f>
        <v>70608.913793103449</v>
      </c>
      <c r="AA70" s="143">
        <v>1</v>
      </c>
    </row>
    <row r="71" spans="1:27">
      <c r="N71" s="215" t="s">
        <v>505</v>
      </c>
      <c r="O71" s="102" t="s">
        <v>403</v>
      </c>
      <c r="P71" s="100" t="s">
        <v>195</v>
      </c>
      <c r="Q71" s="100" t="s">
        <v>195</v>
      </c>
      <c r="R71" s="173" t="s">
        <v>367</v>
      </c>
      <c r="S71" s="324">
        <f t="shared" si="12"/>
        <v>-0.01</v>
      </c>
      <c r="T71" s="597">
        <v>100</v>
      </c>
      <c r="U71" s="143">
        <v>2</v>
      </c>
      <c r="V71" s="278">
        <f t="shared" si="13"/>
        <v>-0.01</v>
      </c>
      <c r="W71" s="143">
        <f t="shared" si="14"/>
        <v>-228.4</v>
      </c>
      <c r="X71" s="143">
        <v>1</v>
      </c>
      <c r="Y71" s="143">
        <v>1</v>
      </c>
      <c r="Z71" s="143">
        <f>SUMIFS(S$5:S$18,P$5:P$18,P71,Q$5:Q$18,Q71,R$5:R$18,R71)</f>
        <v>22840</v>
      </c>
      <c r="AA71" s="143">
        <v>1</v>
      </c>
    </row>
    <row r="72" spans="1:27">
      <c r="N72" s="215" t="s">
        <v>505</v>
      </c>
      <c r="O72" s="102" t="s">
        <v>403</v>
      </c>
      <c r="P72" s="100" t="s">
        <v>195</v>
      </c>
      <c r="Q72" s="100" t="s">
        <v>195</v>
      </c>
      <c r="R72" s="173" t="s">
        <v>358</v>
      </c>
      <c r="S72" s="324">
        <f t="shared" si="12"/>
        <v>-0.3</v>
      </c>
      <c r="T72" s="597">
        <v>100</v>
      </c>
      <c r="U72" s="143">
        <v>2</v>
      </c>
      <c r="V72" s="278">
        <f t="shared" si="13"/>
        <v>-0.3</v>
      </c>
      <c r="W72" s="143">
        <f t="shared" si="14"/>
        <v>-256.12</v>
      </c>
      <c r="X72" s="143">
        <v>1</v>
      </c>
      <c r="Y72" s="143">
        <v>1</v>
      </c>
      <c r="Z72" s="143">
        <f>SUMIFS(S$5:S$18,P$5:P$18,P72,Q$5:Q$18,Q72,R$5:R$18,R72)</f>
        <v>853.73333333333335</v>
      </c>
      <c r="AA72" s="143">
        <v>1</v>
      </c>
    </row>
    <row r="73" spans="1:27">
      <c r="N73" s="216" t="s">
        <v>505</v>
      </c>
      <c r="O73" s="150" t="s">
        <v>403</v>
      </c>
      <c r="P73" s="152" t="s">
        <v>195</v>
      </c>
      <c r="Q73" s="152" t="s">
        <v>195</v>
      </c>
      <c r="R73" s="266" t="s">
        <v>368</v>
      </c>
      <c r="S73" s="325">
        <f t="shared" si="12"/>
        <v>60</v>
      </c>
      <c r="T73" s="597">
        <v>100</v>
      </c>
      <c r="U73" s="143">
        <v>2</v>
      </c>
      <c r="V73" s="278">
        <f t="shared" si="13"/>
        <v>60</v>
      </c>
      <c r="W73" s="143">
        <f t="shared" si="14"/>
        <v>730.00000000000011</v>
      </c>
      <c r="X73" s="143">
        <v>1</v>
      </c>
      <c r="Y73" s="143">
        <v>1</v>
      </c>
      <c r="Z73" s="143">
        <f>SUMIFS(S$5:S$18,P$5:P$18,P73,Q$5:Q$18,Q73,R$5:R$18,R73)</f>
        <v>12.166666666666668</v>
      </c>
      <c r="AA73" s="143">
        <v>1</v>
      </c>
    </row>
    <row r="74" spans="1:27">
      <c r="N74" s="219" t="s">
        <v>505</v>
      </c>
      <c r="O74" s="145" t="s">
        <v>29</v>
      </c>
      <c r="P74" s="146" t="s">
        <v>199</v>
      </c>
      <c r="Q74" s="146" t="s">
        <v>195</v>
      </c>
      <c r="R74" s="146" t="s">
        <v>285</v>
      </c>
      <c r="S74" s="220">
        <f t="shared" ref="S74:S88" ca="1" si="17">IF(R74="Unbilled",SUMIFS(S$33:S$47,R$33:R$47,R74),SUMIFS(S$60:S$73,P$60:P$73,P74,Q$60:Q$73,Q74,R$60:R$73,R74)*U74)</f>
        <v>58094.92501527947</v>
      </c>
      <c r="T74" s="143">
        <f t="shared" ref="T74:T88" ca="1" si="18">IF(R74="Unbilled",SUMIFS(S$33:S$47,R$33:R$47,R74),SUMIFS(V$60:V$73,P$60:P$73,P74,Q$60:Q$73,Q74,R$60:R$73,R74)*U74)</f>
        <v>60171.458047489235</v>
      </c>
      <c r="U74" s="143">
        <f t="shared" ref="U74:U88" si="19">SUMIFS(S$5:S$18,P$5:P$18,P74,Q$5:Q$18,Q74,R$5:R$18,R74)</f>
        <v>508.93495414173873</v>
      </c>
      <c r="V74" s="159"/>
      <c r="W74" s="159"/>
      <c r="X74" s="143"/>
      <c r="Y74" s="143"/>
      <c r="Z74" s="143"/>
      <c r="AA74" s="143"/>
    </row>
    <row r="75" spans="1:27">
      <c r="N75" s="215" t="s">
        <v>505</v>
      </c>
      <c r="O75" s="102" t="s">
        <v>29</v>
      </c>
      <c r="P75" s="148" t="s">
        <v>199</v>
      </c>
      <c r="Q75" s="148" t="s">
        <v>195</v>
      </c>
      <c r="R75" s="148" t="s">
        <v>194</v>
      </c>
      <c r="S75" s="217">
        <f t="shared" ca="1" si="17"/>
        <v>0</v>
      </c>
      <c r="T75" s="143">
        <f t="shared" ca="1" si="18"/>
        <v>0</v>
      </c>
      <c r="U75" s="143">
        <f t="shared" si="19"/>
        <v>495.84657534246583</v>
      </c>
      <c r="V75" s="416"/>
      <c r="W75" s="159"/>
      <c r="X75" s="143"/>
      <c r="Y75" s="143"/>
      <c r="Z75" s="143"/>
      <c r="AA75" s="143"/>
    </row>
    <row r="76" spans="1:27">
      <c r="N76" s="215" t="s">
        <v>505</v>
      </c>
      <c r="O76" s="102" t="s">
        <v>29</v>
      </c>
      <c r="P76" s="148" t="s">
        <v>200</v>
      </c>
      <c r="Q76" s="148" t="s">
        <v>203</v>
      </c>
      <c r="R76" s="148" t="s">
        <v>285</v>
      </c>
      <c r="S76" s="217">
        <f t="shared" ca="1" si="17"/>
        <v>224472.63494478655</v>
      </c>
      <c r="T76" s="143">
        <f t="shared" ca="1" si="18"/>
        <v>232496.13856696044</v>
      </c>
      <c r="U76" s="143">
        <f t="shared" si="19"/>
        <v>983.23536988517992</v>
      </c>
      <c r="V76" s="159"/>
      <c r="W76" s="159"/>
      <c r="X76" s="143"/>
      <c r="Y76" s="143"/>
      <c r="Z76" s="143"/>
      <c r="AA76" s="159"/>
    </row>
    <row r="77" spans="1:27">
      <c r="N77" s="215" t="s">
        <v>505</v>
      </c>
      <c r="O77" s="102" t="s">
        <v>29</v>
      </c>
      <c r="P77" s="148" t="s">
        <v>200</v>
      </c>
      <c r="Q77" s="148" t="s">
        <v>203</v>
      </c>
      <c r="R77" s="148" t="s">
        <v>194</v>
      </c>
      <c r="S77" s="217">
        <f t="shared" ca="1" si="17"/>
        <v>0</v>
      </c>
      <c r="T77" s="143">
        <f t="shared" ca="1" si="18"/>
        <v>0</v>
      </c>
      <c r="U77" s="143">
        <f t="shared" si="19"/>
        <v>2698.3863013698633</v>
      </c>
      <c r="V77" s="159"/>
      <c r="W77" s="159"/>
      <c r="X77" s="143"/>
      <c r="Y77" s="143"/>
      <c r="Z77" s="143"/>
      <c r="AA77" s="159"/>
    </row>
    <row r="78" spans="1:27">
      <c r="N78" s="215" t="s">
        <v>505</v>
      </c>
      <c r="O78" s="102" t="s">
        <v>29</v>
      </c>
      <c r="P78" s="148" t="s">
        <v>200</v>
      </c>
      <c r="Q78" s="148" t="s">
        <v>284</v>
      </c>
      <c r="R78" s="148" t="s">
        <v>194</v>
      </c>
      <c r="S78" s="217">
        <f t="shared" ca="1" si="17"/>
        <v>226544.16879452037</v>
      </c>
      <c r="T78" s="143">
        <f t="shared" ca="1" si="18"/>
        <v>234662.7114945222</v>
      </c>
      <c r="U78" s="143">
        <f t="shared" si="19"/>
        <v>441.46027397260241</v>
      </c>
      <c r="V78" s="159"/>
      <c r="W78" s="322"/>
      <c r="X78" s="143"/>
      <c r="Y78" s="143"/>
      <c r="Z78" s="143"/>
      <c r="AA78" s="159"/>
    </row>
    <row r="79" spans="1:27">
      <c r="N79" s="215" t="s">
        <v>505</v>
      </c>
      <c r="O79" s="102" t="s">
        <v>29</v>
      </c>
      <c r="P79" s="148" t="s">
        <v>200</v>
      </c>
      <c r="Q79" s="148" t="s">
        <v>204</v>
      </c>
      <c r="R79" s="148" t="s">
        <v>194</v>
      </c>
      <c r="S79" s="217">
        <f t="shared" ca="1" si="17"/>
        <v>27115.659999999996</v>
      </c>
      <c r="T79" s="143">
        <f t="shared" ca="1" si="18"/>
        <v>28087.451544244421</v>
      </c>
      <c r="U79" s="143">
        <f t="shared" si="19"/>
        <v>12.999999999999996</v>
      </c>
      <c r="V79" s="159"/>
      <c r="W79" s="159"/>
      <c r="X79" s="159"/>
      <c r="Y79" s="159"/>
      <c r="Z79" s="159"/>
      <c r="AA79" s="159"/>
    </row>
    <row r="80" spans="1:27">
      <c r="N80" s="215" t="s">
        <v>505</v>
      </c>
      <c r="O80" s="102" t="s">
        <v>29</v>
      </c>
      <c r="P80" s="148" t="s">
        <v>200</v>
      </c>
      <c r="Q80" s="148" t="s">
        <v>284</v>
      </c>
      <c r="R80" s="148" t="s">
        <v>281</v>
      </c>
      <c r="S80" s="217">
        <f t="shared" ca="1" si="17"/>
        <v>1283768.1138876365</v>
      </c>
      <c r="T80" s="143">
        <f t="shared" ca="1" si="18"/>
        <v>1329817.9119773568</v>
      </c>
      <c r="U80" s="143">
        <f t="shared" si="19"/>
        <v>42806.539309357671</v>
      </c>
      <c r="V80" s="159"/>
      <c r="W80" s="159"/>
      <c r="X80" s="159"/>
      <c r="Y80" s="159"/>
      <c r="Z80" s="159"/>
      <c r="AA80" s="159"/>
    </row>
    <row r="81" spans="14:27">
      <c r="N81" s="215" t="s">
        <v>505</v>
      </c>
      <c r="O81" s="102" t="s">
        <v>29</v>
      </c>
      <c r="P81" s="148" t="s">
        <v>200</v>
      </c>
      <c r="Q81" s="148" t="s">
        <v>204</v>
      </c>
      <c r="R81" s="148" t="s">
        <v>281</v>
      </c>
      <c r="S81" s="217">
        <f t="shared" ca="1" si="17"/>
        <v>134274.71406252441</v>
      </c>
      <c r="T81" s="143">
        <f t="shared" ca="1" si="18"/>
        <v>139099.81467332668</v>
      </c>
      <c r="U81" s="143">
        <f t="shared" si="19"/>
        <v>5726.0005996812115</v>
      </c>
      <c r="V81" s="159"/>
      <c r="W81" s="159"/>
      <c r="X81" s="159"/>
      <c r="Y81" s="159"/>
      <c r="Z81" s="159"/>
      <c r="AA81" s="159"/>
    </row>
    <row r="82" spans="14:27">
      <c r="N82" s="215" t="s">
        <v>505</v>
      </c>
      <c r="O82" s="102" t="s">
        <v>29</v>
      </c>
      <c r="P82" s="148" t="s">
        <v>195</v>
      </c>
      <c r="Q82" s="148" t="s">
        <v>203</v>
      </c>
      <c r="R82" s="148" t="s">
        <v>281</v>
      </c>
      <c r="S82" s="217">
        <f t="shared" ca="1" si="17"/>
        <v>2123434.4229759835</v>
      </c>
      <c r="T82" s="143">
        <f t="shared" ca="1" si="18"/>
        <v>2199334.0255640103</v>
      </c>
      <c r="U82" s="143">
        <f t="shared" si="19"/>
        <v>55806.423731300492</v>
      </c>
      <c r="V82" s="159"/>
      <c r="W82" s="159"/>
      <c r="X82" s="159"/>
      <c r="Y82" s="159"/>
      <c r="Z82" s="159"/>
      <c r="AA82" s="159"/>
    </row>
    <row r="83" spans="14:27">
      <c r="N83" s="215" t="s">
        <v>505</v>
      </c>
      <c r="O83" s="102" t="s">
        <v>29</v>
      </c>
      <c r="P83" s="148" t="s">
        <v>195</v>
      </c>
      <c r="Q83" s="148" t="s">
        <v>195</v>
      </c>
      <c r="R83" s="148" t="s">
        <v>6</v>
      </c>
      <c r="S83" s="217">
        <f t="shared" ca="1" si="17"/>
        <v>13403584.317333851</v>
      </c>
      <c r="T83" s="143">
        <f t="shared" ca="1" si="18"/>
        <v>13884464.034429722</v>
      </c>
      <c r="U83" s="143">
        <f t="shared" si="19"/>
        <v>163418487.16573825</v>
      </c>
      <c r="V83" s="159"/>
      <c r="W83" s="159"/>
      <c r="X83" s="159"/>
      <c r="Y83" s="159"/>
      <c r="Z83" s="159"/>
      <c r="AA83" s="159"/>
    </row>
    <row r="84" spans="14:27">
      <c r="N84" s="215" t="s">
        <v>505</v>
      </c>
      <c r="O84" s="102" t="s">
        <v>29</v>
      </c>
      <c r="P84" s="148" t="s">
        <v>195</v>
      </c>
      <c r="Q84" s="148" t="s">
        <v>195</v>
      </c>
      <c r="R84" s="148" t="s">
        <v>201</v>
      </c>
      <c r="S84" s="217">
        <f t="shared" si="17"/>
        <v>39540.991724137937</v>
      </c>
      <c r="T84" s="143">
        <f t="shared" si="18"/>
        <v>40953.17</v>
      </c>
      <c r="U84" s="143">
        <f t="shared" si="19"/>
        <v>70608.913793103449</v>
      </c>
      <c r="V84" s="159"/>
      <c r="W84" s="159"/>
      <c r="X84" s="159"/>
      <c r="Y84" s="159"/>
      <c r="Z84" s="159"/>
      <c r="AA84" s="159"/>
    </row>
    <row r="85" spans="14:27">
      <c r="N85" s="215" t="s">
        <v>505</v>
      </c>
      <c r="O85" s="102" t="s">
        <v>29</v>
      </c>
      <c r="P85" s="148" t="s">
        <v>195</v>
      </c>
      <c r="Q85" s="148" t="s">
        <v>195</v>
      </c>
      <c r="R85" s="173" t="s">
        <v>367</v>
      </c>
      <c r="S85" s="217">
        <f t="shared" si="17"/>
        <v>-228.4</v>
      </c>
      <c r="T85" s="143">
        <f t="shared" si="18"/>
        <v>-228.4</v>
      </c>
      <c r="U85" s="143">
        <f t="shared" si="19"/>
        <v>22840</v>
      </c>
      <c r="V85" s="159"/>
      <c r="W85" s="159"/>
      <c r="X85" s="159"/>
      <c r="Y85" s="159"/>
      <c r="Z85" s="159"/>
      <c r="AA85" s="159"/>
    </row>
    <row r="86" spans="14:27">
      <c r="N86" s="215" t="s">
        <v>505</v>
      </c>
      <c r="O86" s="102" t="s">
        <v>29</v>
      </c>
      <c r="P86" s="148" t="s">
        <v>195</v>
      </c>
      <c r="Q86" s="148" t="s">
        <v>195</v>
      </c>
      <c r="R86" s="173" t="s">
        <v>358</v>
      </c>
      <c r="S86" s="217">
        <f t="shared" si="17"/>
        <v>-256.12</v>
      </c>
      <c r="T86" s="143">
        <f t="shared" si="18"/>
        <v>-256.12</v>
      </c>
      <c r="U86" s="143">
        <f t="shared" si="19"/>
        <v>853.73333333333335</v>
      </c>
      <c r="V86" s="159"/>
      <c r="W86" s="159"/>
      <c r="X86" s="159"/>
      <c r="Y86" s="159"/>
      <c r="Z86" s="159"/>
      <c r="AA86" s="159"/>
    </row>
    <row r="87" spans="14:27">
      <c r="N87" s="215" t="s">
        <v>505</v>
      </c>
      <c r="O87" s="102" t="s">
        <v>29</v>
      </c>
      <c r="P87" s="148" t="s">
        <v>195</v>
      </c>
      <c r="Q87" s="148" t="s">
        <v>195</v>
      </c>
      <c r="R87" s="173" t="s">
        <v>368</v>
      </c>
      <c r="S87" s="217">
        <f t="shared" si="17"/>
        <v>730.00000000000011</v>
      </c>
      <c r="T87" s="143">
        <f t="shared" si="18"/>
        <v>730.00000000000011</v>
      </c>
      <c r="U87" s="143">
        <f t="shared" si="19"/>
        <v>12.166666666666668</v>
      </c>
      <c r="V87" s="159"/>
      <c r="W87" s="159"/>
      <c r="X87" s="159"/>
      <c r="Y87" s="159"/>
      <c r="Z87" s="159"/>
      <c r="AA87" s="159"/>
    </row>
    <row r="88" spans="14:27">
      <c r="N88" s="216" t="s">
        <v>505</v>
      </c>
      <c r="O88" s="150" t="s">
        <v>29</v>
      </c>
      <c r="P88" s="152" t="s">
        <v>195</v>
      </c>
      <c r="Q88" s="152" t="s">
        <v>195</v>
      </c>
      <c r="R88" s="265" t="s">
        <v>168</v>
      </c>
      <c r="S88" s="218">
        <f t="shared" si="17"/>
        <v>-1729000</v>
      </c>
      <c r="T88" s="143">
        <f t="shared" si="18"/>
        <v>-1729000</v>
      </c>
      <c r="U88" s="143">
        <f t="shared" si="19"/>
        <v>0</v>
      </c>
      <c r="V88" s="159"/>
      <c r="W88" s="159"/>
      <c r="X88" s="159"/>
      <c r="Y88" s="159"/>
      <c r="Z88" s="159"/>
      <c r="AA88" s="159"/>
    </row>
    <row r="89" spans="14:27">
      <c r="N89" s="309" t="s">
        <v>540</v>
      </c>
      <c r="O89" s="264" t="s">
        <v>29</v>
      </c>
      <c r="P89" s="144" t="s">
        <v>195</v>
      </c>
      <c r="Q89" s="219" t="s">
        <v>195</v>
      </c>
      <c r="R89" s="219" t="s">
        <v>195</v>
      </c>
      <c r="S89" s="219">
        <f ca="1">'Cost of Service and Proposed $'!Z123</f>
        <v>376195.86785133946</v>
      </c>
      <c r="T89" s="159"/>
      <c r="U89" s="159"/>
      <c r="V89" s="159"/>
      <c r="W89" s="159"/>
      <c r="X89" s="159"/>
      <c r="Y89" s="159"/>
      <c r="Z89" s="159"/>
      <c r="AA89" s="159"/>
    </row>
    <row r="90" spans="14:27">
      <c r="N90" s="327" t="s">
        <v>541</v>
      </c>
      <c r="O90" s="90" t="s">
        <v>29</v>
      </c>
      <c r="P90" s="100" t="s">
        <v>195</v>
      </c>
      <c r="Q90" s="215" t="s">
        <v>195</v>
      </c>
      <c r="R90" s="215" t="s">
        <v>195</v>
      </c>
      <c r="S90" s="215">
        <f ca="1">'Cost of Service and Proposed $'!Z124</f>
        <v>6856773.6671696687</v>
      </c>
      <c r="T90" s="159"/>
      <c r="U90" s="159"/>
      <c r="V90" s="159"/>
      <c r="W90" s="159"/>
      <c r="X90" s="159"/>
      <c r="Y90" s="159"/>
      <c r="Z90" s="159"/>
      <c r="AA90" s="159"/>
    </row>
    <row r="91" spans="14:27">
      <c r="N91" s="327" t="s">
        <v>542</v>
      </c>
      <c r="O91" s="90" t="s">
        <v>29</v>
      </c>
      <c r="P91" s="100" t="s">
        <v>195</v>
      </c>
      <c r="Q91" s="215" t="s">
        <v>195</v>
      </c>
      <c r="R91" s="215" t="s">
        <v>195</v>
      </c>
      <c r="S91" s="215">
        <f ca="1">'Cost of Service and Proposed $'!Z125</f>
        <v>1831998.9595941918</v>
      </c>
      <c r="T91" s="159"/>
      <c r="U91" s="159"/>
      <c r="V91" s="159"/>
      <c r="W91" s="159"/>
      <c r="X91" s="159"/>
      <c r="Y91" s="159"/>
      <c r="Z91" s="159"/>
      <c r="AA91" s="159"/>
    </row>
    <row r="92" spans="14:27">
      <c r="N92" s="310" t="s">
        <v>543</v>
      </c>
      <c r="O92" s="265" t="s">
        <v>29</v>
      </c>
      <c r="P92" s="152" t="s">
        <v>195</v>
      </c>
      <c r="Q92" s="216" t="s">
        <v>195</v>
      </c>
      <c r="R92" s="216" t="s">
        <v>195</v>
      </c>
      <c r="S92" s="216">
        <f ca="1">'Cost of Service and Proposed $'!Z126</f>
        <v>8418012.7102753893</v>
      </c>
      <c r="T92" s="159"/>
      <c r="U92" s="159"/>
      <c r="V92" s="159"/>
      <c r="W92" s="159"/>
      <c r="X92" s="159"/>
      <c r="Y92" s="159"/>
      <c r="Z92" s="159"/>
      <c r="AA92" s="159"/>
    </row>
    <row r="93" spans="14:27">
      <c r="N93" s="396" t="s">
        <v>535</v>
      </c>
      <c r="O93" s="264" t="s">
        <v>29</v>
      </c>
      <c r="P93" s="144" t="s">
        <v>195</v>
      </c>
      <c r="Q93" s="219" t="s">
        <v>195</v>
      </c>
      <c r="R93" s="219" t="s">
        <v>194</v>
      </c>
      <c r="S93" s="219">
        <f ca="1">(T93*(U93-V93)+V93*100)/100</f>
        <v>291630.34337709221</v>
      </c>
      <c r="T93" s="236">
        <f>$T$52</f>
        <v>10</v>
      </c>
      <c r="U93" s="143">
        <f ca="1">S89*(1-SUM(U96:U100)/SUM(S89:S92))</f>
        <v>412544.08225531061</v>
      </c>
      <c r="V93" s="143">
        <f ca="1">SUMIFS(S$74:S$83,R$74:R$83,R93)/SUM(S$74:S$83)*(SUM(S$89:S$92)-SUM(V$96:V$100))</f>
        <v>278195.48350173462</v>
      </c>
      <c r="W93" s="159"/>
      <c r="X93" s="159"/>
      <c r="Y93" s="159"/>
      <c r="Z93" s="159"/>
      <c r="AA93" s="159"/>
    </row>
    <row r="94" spans="14:27">
      <c r="N94" s="395" t="s">
        <v>535</v>
      </c>
      <c r="O94" s="90" t="s">
        <v>29</v>
      </c>
      <c r="P94" s="100" t="s">
        <v>195</v>
      </c>
      <c r="Q94" s="215" t="s">
        <v>195</v>
      </c>
      <c r="R94" s="215" t="s">
        <v>281</v>
      </c>
      <c r="S94" s="215">
        <f t="shared" ref="S94:S100" ca="1" si="20">(T94*(U94-V94)+V94*100)/100</f>
        <v>4727367.0988864386</v>
      </c>
      <c r="T94" s="236">
        <f t="shared" ref="T94:T100" si="21">$T$52</f>
        <v>10</v>
      </c>
      <c r="U94" s="143">
        <f ca="1">(S90+S91)*(1-SUM(U96:U100)/SUM(S89:S92))</f>
        <v>9528285.7563173473</v>
      </c>
      <c r="V94" s="143">
        <f ca="1">SUM(SUMIFS(S$74:S$83,R$74:R$83,R94),S74,S76)/SUM(S$74:S$83)*(SUM(S$89:S$92)-SUM(V$96:V$100))</f>
        <v>4193931.6925052265</v>
      </c>
      <c r="W94" s="159"/>
      <c r="X94" s="159"/>
      <c r="Y94" s="159"/>
      <c r="Z94" s="159"/>
      <c r="AA94" s="159"/>
    </row>
    <row r="95" spans="14:27">
      <c r="N95" s="395" t="s">
        <v>535</v>
      </c>
      <c r="O95" s="90" t="s">
        <v>29</v>
      </c>
      <c r="P95" s="100" t="s">
        <v>195</v>
      </c>
      <c r="Q95" s="215" t="s">
        <v>195</v>
      </c>
      <c r="R95" s="215" t="s">
        <v>6</v>
      </c>
      <c r="S95" s="215">
        <f t="shared" ca="1" si="20"/>
        <v>14153197.290902918</v>
      </c>
      <c r="T95" s="236">
        <f t="shared" si="21"/>
        <v>10</v>
      </c>
      <c r="U95" s="143">
        <f ca="1">S92*(1-SUM(U96:U100)/SUM(S89:S92))</f>
        <v>9231364.894593792</v>
      </c>
      <c r="V95" s="143">
        <f ca="1">SUMIFS(S$74:S$83,R$74:R$83,R95)/SUM(S$74:S$83)*(SUM(S$89:S$92)-SUM(V$96:V$100))</f>
        <v>14700067.557159485</v>
      </c>
      <c r="W95" s="159"/>
      <c r="X95" s="159"/>
      <c r="Y95" s="159"/>
      <c r="Z95" s="159"/>
      <c r="AA95" s="159"/>
    </row>
    <row r="96" spans="14:27">
      <c r="N96" s="395" t="s">
        <v>535</v>
      </c>
      <c r="O96" s="90" t="s">
        <v>29</v>
      </c>
      <c r="P96" s="100" t="s">
        <v>195</v>
      </c>
      <c r="Q96" s="215" t="s">
        <v>195</v>
      </c>
      <c r="R96" s="148" t="s">
        <v>201</v>
      </c>
      <c r="S96" s="215">
        <f t="shared" si="20"/>
        <v>39540.991724137937</v>
      </c>
      <c r="T96" s="236">
        <f t="shared" si="21"/>
        <v>10</v>
      </c>
      <c r="U96" s="143">
        <f>S84</f>
        <v>39540.991724137937</v>
      </c>
      <c r="V96" s="361">
        <f>S84</f>
        <v>39540.991724137937</v>
      </c>
      <c r="W96" s="159"/>
      <c r="X96" s="159"/>
      <c r="Y96" s="159"/>
      <c r="Z96" s="159"/>
      <c r="AA96" s="159"/>
    </row>
    <row r="97" spans="14:27">
      <c r="N97" s="395" t="s">
        <v>535</v>
      </c>
      <c r="O97" s="90" t="s">
        <v>29</v>
      </c>
      <c r="P97" s="100" t="s">
        <v>195</v>
      </c>
      <c r="Q97" s="215" t="s">
        <v>195</v>
      </c>
      <c r="R97" s="173" t="s">
        <v>367</v>
      </c>
      <c r="S97" s="215">
        <f t="shared" si="20"/>
        <v>-228.4</v>
      </c>
      <c r="T97" s="236">
        <f t="shared" si="21"/>
        <v>10</v>
      </c>
      <c r="U97" s="143">
        <f>S85</f>
        <v>-228.4</v>
      </c>
      <c r="V97" s="361">
        <f>S85</f>
        <v>-228.4</v>
      </c>
      <c r="W97" s="159"/>
      <c r="X97" s="159"/>
      <c r="Y97" s="159"/>
      <c r="Z97" s="159"/>
      <c r="AA97" s="159"/>
    </row>
    <row r="98" spans="14:27">
      <c r="N98" s="395" t="s">
        <v>535</v>
      </c>
      <c r="O98" s="90" t="s">
        <v>29</v>
      </c>
      <c r="P98" s="100" t="s">
        <v>195</v>
      </c>
      <c r="Q98" s="215" t="s">
        <v>195</v>
      </c>
      <c r="R98" s="173" t="s">
        <v>358</v>
      </c>
      <c r="S98" s="215">
        <f t="shared" si="20"/>
        <v>-256.12</v>
      </c>
      <c r="T98" s="236">
        <f t="shared" si="21"/>
        <v>10</v>
      </c>
      <c r="U98" s="143">
        <f>S86</f>
        <v>-256.12</v>
      </c>
      <c r="V98" s="361">
        <f>S86</f>
        <v>-256.12</v>
      </c>
      <c r="W98" s="143"/>
      <c r="X98" s="143"/>
      <c r="Y98" s="159"/>
      <c r="Z98" s="159"/>
      <c r="AA98" s="159"/>
    </row>
    <row r="99" spans="14:27">
      <c r="N99" s="395" t="s">
        <v>535</v>
      </c>
      <c r="O99" s="90" t="s">
        <v>29</v>
      </c>
      <c r="P99" s="100" t="s">
        <v>195</v>
      </c>
      <c r="Q99" s="215" t="s">
        <v>195</v>
      </c>
      <c r="R99" s="173" t="s">
        <v>368</v>
      </c>
      <c r="S99" s="215">
        <f t="shared" si="20"/>
        <v>730.00000000000011</v>
      </c>
      <c r="T99" s="236">
        <f t="shared" si="21"/>
        <v>10</v>
      </c>
      <c r="U99" s="143">
        <f>S87</f>
        <v>730.00000000000011</v>
      </c>
      <c r="V99" s="361">
        <f>S87</f>
        <v>730.00000000000011</v>
      </c>
      <c r="W99" s="143"/>
      <c r="X99" s="143"/>
      <c r="Y99" s="159"/>
      <c r="Z99" s="159"/>
      <c r="AA99" s="159"/>
    </row>
    <row r="100" spans="14:27">
      <c r="N100" s="397" t="s">
        <v>535</v>
      </c>
      <c r="O100" s="265" t="s">
        <v>29</v>
      </c>
      <c r="P100" s="152" t="s">
        <v>195</v>
      </c>
      <c r="Q100" s="216" t="s">
        <v>195</v>
      </c>
      <c r="R100" s="216" t="s">
        <v>168</v>
      </c>
      <c r="S100" s="216">
        <f t="shared" si="20"/>
        <v>-1729000</v>
      </c>
      <c r="T100" s="236">
        <f t="shared" si="21"/>
        <v>10</v>
      </c>
      <c r="U100" s="143">
        <f>S88</f>
        <v>-1729000</v>
      </c>
      <c r="V100" s="361">
        <f>S88</f>
        <v>-1729000</v>
      </c>
      <c r="W100" s="143"/>
      <c r="X100" s="143"/>
      <c r="Y100" s="159"/>
      <c r="Z100" s="159"/>
      <c r="AA100" s="159"/>
    </row>
    <row r="101" spans="14:27">
      <c r="N101" s="219" t="s">
        <v>506</v>
      </c>
      <c r="O101" s="145" t="s">
        <v>403</v>
      </c>
      <c r="P101" s="144" t="s">
        <v>199</v>
      </c>
      <c r="Q101" s="144" t="s">
        <v>195</v>
      </c>
      <c r="R101" s="144" t="s">
        <v>285</v>
      </c>
      <c r="S101" s="323">
        <f ca="1">ROUND(T101/100*W101*X101/Y101/Z101,U101)*AA101</f>
        <v>129.87</v>
      </c>
      <c r="T101" s="267">
        <f>100+Summary!$R$13</f>
        <v>96.57</v>
      </c>
      <c r="U101" s="143">
        <v>2</v>
      </c>
      <c r="V101" s="278">
        <f ca="1">W101*X101/Y101/Z101*AA101</f>
        <v>134.47874894765664</v>
      </c>
      <c r="W101" s="143">
        <f ca="1">SUMIFS(S$93:S$100,R$93:R$100,R109)</f>
        <v>4727367.0988864386</v>
      </c>
      <c r="X101" s="143">
        <f ca="1">SUMIFS(S$74:S$88,P$74:P$88,P109,Q$74:Q$88,Q109,R$74:R$88,R109)</f>
        <v>2123434.4229759835</v>
      </c>
      <c r="Y101" s="143">
        <f ca="1">SUMIFS(S$74:S$88,R$74:R$88,R109)</f>
        <v>3541477.2509261444</v>
      </c>
      <c r="Z101" s="143">
        <f>S$5*AA101+S$7*AA103+S$13*AA109</f>
        <v>63232.640813036785</v>
      </c>
      <c r="AA101" s="143">
        <v>3</v>
      </c>
    </row>
    <row r="102" spans="14:27">
      <c r="N102" s="215" t="s">
        <v>506</v>
      </c>
      <c r="O102" s="102" t="s">
        <v>403</v>
      </c>
      <c r="P102" s="100" t="s">
        <v>199</v>
      </c>
      <c r="Q102" s="100" t="s">
        <v>195</v>
      </c>
      <c r="R102" s="100" t="s">
        <v>194</v>
      </c>
      <c r="S102" s="324">
        <f t="shared" ref="S102:S114" ca="1" si="22">ROUND(T102/100*W102*X102/Y102/Z102,U102)*AA102</f>
        <v>0</v>
      </c>
      <c r="T102" s="267">
        <f>100+Summary!$R$13</f>
        <v>96.57</v>
      </c>
      <c r="U102" s="143">
        <v>2</v>
      </c>
      <c r="V102" s="278">
        <f t="shared" ref="V102:V114" ca="1" si="23">W102*X102/Y102/Z102*AA102</f>
        <v>0</v>
      </c>
      <c r="W102" s="143">
        <f ca="1">SUMIFS(S$93:S$100,R$93:R$100,R102)</f>
        <v>291630.34337709221</v>
      </c>
      <c r="X102" s="143">
        <f ca="1">SUMIFS(S$74:S$88,P$74:P$88,P102,Q$74:Q$88,Q102,R$74:R$88,R102)</f>
        <v>0</v>
      </c>
      <c r="Y102" s="143">
        <f ca="1">SUMIFS(S$74:S$88,R$74:R$88,R102)</f>
        <v>253659.82879452038</v>
      </c>
      <c r="Z102" s="143">
        <f>SUMIFS(S$5:S$18,P$5:P$18,P102,Q$5:Q$18,Q102,R$5:R$18,R102)</f>
        <v>495.84657534246583</v>
      </c>
      <c r="AA102" s="143">
        <v>1</v>
      </c>
    </row>
    <row r="103" spans="14:27">
      <c r="N103" s="215" t="s">
        <v>506</v>
      </c>
      <c r="O103" s="102" t="s">
        <v>403</v>
      </c>
      <c r="P103" s="100" t="s">
        <v>200</v>
      </c>
      <c r="Q103" s="100" t="s">
        <v>203</v>
      </c>
      <c r="R103" s="100" t="s">
        <v>285</v>
      </c>
      <c r="S103" s="324">
        <f t="shared" ca="1" si="22"/>
        <v>259.74</v>
      </c>
      <c r="T103" s="267">
        <f>100+Summary!$R$13</f>
        <v>96.57</v>
      </c>
      <c r="U103" s="143">
        <v>2</v>
      </c>
      <c r="V103" s="278">
        <f t="shared" ca="1" si="23"/>
        <v>268.95749789531328</v>
      </c>
      <c r="W103" s="143">
        <f ca="1">SUMIFS(S$93:S$100,R$93:R$100,R109)</f>
        <v>4727367.0988864386</v>
      </c>
      <c r="X103" s="143">
        <f ca="1">SUMIFS(S$74:S$88,P$74:P$88,P109,Q$74:Q$88,Q109,R$74:R$88,R109)</f>
        <v>2123434.4229759835</v>
      </c>
      <c r="Y103" s="143">
        <f ca="1">SUMIFS(S$74:S$88,R$74:R$88,R109)</f>
        <v>3541477.2509261444</v>
      </c>
      <c r="Z103" s="143">
        <f>S$5*AA101+S$7*AA103+S$13*AA109</f>
        <v>63232.640813036785</v>
      </c>
      <c r="AA103" s="143">
        <v>6</v>
      </c>
    </row>
    <row r="104" spans="14:27">
      <c r="N104" s="215" t="s">
        <v>506</v>
      </c>
      <c r="O104" s="102" t="s">
        <v>403</v>
      </c>
      <c r="P104" s="100" t="s">
        <v>200</v>
      </c>
      <c r="Q104" s="100" t="s">
        <v>203</v>
      </c>
      <c r="R104" s="100" t="s">
        <v>194</v>
      </c>
      <c r="S104" s="324">
        <f t="shared" ca="1" si="22"/>
        <v>0</v>
      </c>
      <c r="T104" s="267">
        <f>100+Summary!$R$13</f>
        <v>96.57</v>
      </c>
      <c r="U104" s="143">
        <v>2</v>
      </c>
      <c r="V104" s="278">
        <f t="shared" ca="1" si="23"/>
        <v>0</v>
      </c>
      <c r="W104" s="143">
        <f t="shared" ref="W104:W114" ca="1" si="24">SUMIFS(S$93:S$100,R$93:R$100,R104)</f>
        <v>291630.34337709221</v>
      </c>
      <c r="X104" s="143">
        <f t="shared" ref="X104:X109" ca="1" si="25">SUMIFS(S$74:S$88,P$74:P$88,P104,Q$74:Q$88,Q104,R$74:R$88,R104)</f>
        <v>0</v>
      </c>
      <c r="Y104" s="143">
        <f t="shared" ref="Y104:Y109" ca="1" si="26">SUMIFS(S$74:S$88,R$74:R$88,R104)</f>
        <v>253659.82879452038</v>
      </c>
      <c r="Z104" s="143">
        <f>SUMIFS(S$5:S$18,P$5:P$18,P104,Q$5:Q$18,Q104,R$5:R$18,R104)</f>
        <v>2698.3863013698633</v>
      </c>
      <c r="AA104" s="143">
        <v>1</v>
      </c>
    </row>
    <row r="105" spans="14:27">
      <c r="N105" s="215" t="s">
        <v>506</v>
      </c>
      <c r="O105" s="102" t="s">
        <v>403</v>
      </c>
      <c r="P105" s="100" t="s">
        <v>200</v>
      </c>
      <c r="Q105" s="100" t="s">
        <v>284</v>
      </c>
      <c r="R105" s="100" t="s">
        <v>194</v>
      </c>
      <c r="S105" s="324">
        <f t="shared" ca="1" si="22"/>
        <v>569.75</v>
      </c>
      <c r="T105" s="267">
        <f>100+Summary!$R$13</f>
        <v>96.57</v>
      </c>
      <c r="U105" s="143">
        <v>2</v>
      </c>
      <c r="V105" s="278">
        <f t="shared" ca="1" si="23"/>
        <v>589.98677095241862</v>
      </c>
      <c r="W105" s="143">
        <f t="shared" ca="1" si="24"/>
        <v>291630.34337709221</v>
      </c>
      <c r="X105" s="143">
        <f t="shared" ca="1" si="25"/>
        <v>226544.16879452037</v>
      </c>
      <c r="Y105" s="143">
        <f t="shared" ca="1" si="26"/>
        <v>253659.82879452038</v>
      </c>
      <c r="Z105" s="143">
        <f>SUMIFS(S$5:S$18,P$5:P$18,P105,Q$5:Q$18,Q105,R$5:R$18,R105)</f>
        <v>441.46027397260241</v>
      </c>
      <c r="AA105" s="143">
        <v>1</v>
      </c>
    </row>
    <row r="106" spans="14:27">
      <c r="N106" s="215" t="s">
        <v>506</v>
      </c>
      <c r="O106" s="102" t="s">
        <v>403</v>
      </c>
      <c r="P106" s="100" t="s">
        <v>200</v>
      </c>
      <c r="Q106" s="100" t="s">
        <v>204</v>
      </c>
      <c r="R106" s="100" t="s">
        <v>194</v>
      </c>
      <c r="S106" s="324">
        <f t="shared" ca="1" si="22"/>
        <v>2315.79</v>
      </c>
      <c r="T106" s="267">
        <f>100+Summary!$R$13</f>
        <v>96.57</v>
      </c>
      <c r="U106" s="143">
        <v>2</v>
      </c>
      <c r="V106" s="278">
        <f t="shared" ca="1" si="23"/>
        <v>2398.0478332481903</v>
      </c>
      <c r="W106" s="143">
        <f t="shared" ca="1" si="24"/>
        <v>291630.34337709221</v>
      </c>
      <c r="X106" s="143">
        <f t="shared" ca="1" si="25"/>
        <v>27115.659999999996</v>
      </c>
      <c r="Y106" s="143">
        <f t="shared" ca="1" si="26"/>
        <v>253659.82879452038</v>
      </c>
      <c r="Z106" s="143">
        <f>SUMIFS(S$5:S$18,P$5:P$18,P106,Q$5:Q$18,Q106,R$5:R$18,R106)</f>
        <v>12.999999999999996</v>
      </c>
      <c r="AA106" s="143">
        <v>1</v>
      </c>
    </row>
    <row r="107" spans="14:27">
      <c r="N107" s="215" t="s">
        <v>506</v>
      </c>
      <c r="O107" s="102" t="s">
        <v>403</v>
      </c>
      <c r="P107" s="100" t="s">
        <v>200</v>
      </c>
      <c r="Q107" s="100" t="s">
        <v>284</v>
      </c>
      <c r="R107" s="100" t="s">
        <v>281</v>
      </c>
      <c r="S107" s="324">
        <f t="shared" ca="1" si="22"/>
        <v>38.659999999999997</v>
      </c>
      <c r="T107" s="267">
        <f>100+Summary!$R$13</f>
        <v>96.57</v>
      </c>
      <c r="U107" s="143">
        <v>2</v>
      </c>
      <c r="V107" s="278">
        <f t="shared" ca="1" si="23"/>
        <v>40.032373286748779</v>
      </c>
      <c r="W107" s="143">
        <f t="shared" ca="1" si="24"/>
        <v>4727367.0988864386</v>
      </c>
      <c r="X107" s="143">
        <f t="shared" ca="1" si="25"/>
        <v>1283768.1138876365</v>
      </c>
      <c r="Y107" s="143">
        <f t="shared" ca="1" si="26"/>
        <v>3541477.2509261444</v>
      </c>
      <c r="Z107" s="143">
        <f>SUMIFS(S$5:S$18,P$5:P$18,P107,Q$5:Q$18,Q107,R$5:R$18,R107)</f>
        <v>42806.539309357671</v>
      </c>
      <c r="AA107" s="143">
        <v>1</v>
      </c>
    </row>
    <row r="108" spans="14:27">
      <c r="N108" s="215" t="s">
        <v>506</v>
      </c>
      <c r="O108" s="102" t="s">
        <v>403</v>
      </c>
      <c r="P108" s="100" t="s">
        <v>200</v>
      </c>
      <c r="Q108" s="100" t="s">
        <v>204</v>
      </c>
      <c r="R108" s="100" t="s">
        <v>281</v>
      </c>
      <c r="S108" s="324">
        <f t="shared" ca="1" si="22"/>
        <v>30.23</v>
      </c>
      <c r="T108" s="267">
        <f>100+Summary!$R$13</f>
        <v>96.57</v>
      </c>
      <c r="U108" s="143">
        <v>2</v>
      </c>
      <c r="V108" s="278">
        <f t="shared" ca="1" si="23"/>
        <v>31.302405921115671</v>
      </c>
      <c r="W108" s="143">
        <f t="shared" ca="1" si="24"/>
        <v>4727367.0988864386</v>
      </c>
      <c r="X108" s="143">
        <f t="shared" ca="1" si="25"/>
        <v>134274.71406252441</v>
      </c>
      <c r="Y108" s="143">
        <f t="shared" ca="1" si="26"/>
        <v>3541477.2509261444</v>
      </c>
      <c r="Z108" s="143">
        <f>SUMIFS(S$5:S$18,P$5:P$18,P108,Q$5:Q$18,Q108,R$5:R$18,R108)</f>
        <v>5726.0005996812115</v>
      </c>
      <c r="AA108" s="143">
        <v>1</v>
      </c>
    </row>
    <row r="109" spans="14:27">
      <c r="N109" s="215" t="s">
        <v>506</v>
      </c>
      <c r="O109" s="102" t="s">
        <v>403</v>
      </c>
      <c r="P109" s="100" t="s">
        <v>195</v>
      </c>
      <c r="Q109" s="100" t="s">
        <v>203</v>
      </c>
      <c r="R109" s="100" t="s">
        <v>281</v>
      </c>
      <c r="S109" s="324">
        <f t="shared" ca="1" si="22"/>
        <v>43.29</v>
      </c>
      <c r="T109" s="267">
        <f>100+Summary!$R$13</f>
        <v>96.57</v>
      </c>
      <c r="U109" s="143">
        <v>2</v>
      </c>
      <c r="V109" s="278">
        <f t="shared" ca="1" si="23"/>
        <v>44.82624964921888</v>
      </c>
      <c r="W109" s="143">
        <f t="shared" ca="1" si="24"/>
        <v>4727367.0988864386</v>
      </c>
      <c r="X109" s="143">
        <f t="shared" ca="1" si="25"/>
        <v>2123434.4229759835</v>
      </c>
      <c r="Y109" s="143">
        <f t="shared" ca="1" si="26"/>
        <v>3541477.2509261444</v>
      </c>
      <c r="Z109" s="143">
        <f>S$5*AA101+S$7*AA103+S$13*AA109</f>
        <v>63232.640813036785</v>
      </c>
      <c r="AA109" s="143">
        <v>1</v>
      </c>
    </row>
    <row r="110" spans="14:27">
      <c r="N110" s="215" t="s">
        <v>506</v>
      </c>
      <c r="O110" s="102" t="s">
        <v>403</v>
      </c>
      <c r="P110" s="100" t="s">
        <v>195</v>
      </c>
      <c r="Q110" s="100" t="s">
        <v>195</v>
      </c>
      <c r="R110" s="100" t="s">
        <v>6</v>
      </c>
      <c r="S110" s="324">
        <f t="shared" ca="1" si="22"/>
        <v>8.3640000000000006E-2</v>
      </c>
      <c r="T110" s="267">
        <f>100+Summary!$R$13</f>
        <v>96.57</v>
      </c>
      <c r="U110" s="143">
        <v>5</v>
      </c>
      <c r="V110" s="278">
        <f t="shared" ca="1" si="23"/>
        <v>8.6607075713219725E-2</v>
      </c>
      <c r="W110" s="143">
        <f t="shared" ca="1" si="24"/>
        <v>14153197.290902918</v>
      </c>
      <c r="X110" s="143">
        <v>1</v>
      </c>
      <c r="Y110" s="143">
        <v>1</v>
      </c>
      <c r="Z110" s="143">
        <f>SUMIFS(S$5:S$18,P$5:P$18,P110,Q$5:Q$18,Q110,R$5:R$18,R110)</f>
        <v>163418487.16573825</v>
      </c>
      <c r="AA110" s="143">
        <v>1</v>
      </c>
    </row>
    <row r="111" spans="14:27">
      <c r="N111" s="215" t="s">
        <v>506</v>
      </c>
      <c r="O111" s="102" t="s">
        <v>403</v>
      </c>
      <c r="P111" s="100" t="s">
        <v>195</v>
      </c>
      <c r="Q111" s="100" t="s">
        <v>195</v>
      </c>
      <c r="R111" s="100" t="s">
        <v>201</v>
      </c>
      <c r="S111" s="324">
        <f t="shared" si="22"/>
        <v>0.54</v>
      </c>
      <c r="T111" s="267">
        <f>100+Summary!$R$13</f>
        <v>96.57</v>
      </c>
      <c r="U111" s="143">
        <v>2</v>
      </c>
      <c r="V111" s="278">
        <f t="shared" si="23"/>
        <v>0.56000000000000005</v>
      </c>
      <c r="W111" s="143">
        <f t="shared" si="24"/>
        <v>39540.991724137937</v>
      </c>
      <c r="X111" s="143">
        <v>1</v>
      </c>
      <c r="Y111" s="143">
        <v>1</v>
      </c>
      <c r="Z111" s="143">
        <f>SUMIFS(S$5:S$18,P$5:P$18,P111,Q$5:Q$18,Q111,R$5:R$18,R111)</f>
        <v>70608.913793103449</v>
      </c>
      <c r="AA111" s="143">
        <v>1</v>
      </c>
    </row>
    <row r="112" spans="14:27">
      <c r="N112" s="215" t="s">
        <v>506</v>
      </c>
      <c r="O112" s="102" t="s">
        <v>403</v>
      </c>
      <c r="P112" s="100" t="s">
        <v>195</v>
      </c>
      <c r="Q112" s="100" t="s">
        <v>195</v>
      </c>
      <c r="R112" s="173" t="s">
        <v>367</v>
      </c>
      <c r="S112" s="324">
        <f t="shared" si="22"/>
        <v>-0.01</v>
      </c>
      <c r="T112" s="597">
        <v>100</v>
      </c>
      <c r="U112" s="143">
        <v>2</v>
      </c>
      <c r="V112" s="278">
        <f t="shared" si="23"/>
        <v>-0.01</v>
      </c>
      <c r="W112" s="143">
        <f t="shared" si="24"/>
        <v>-228.4</v>
      </c>
      <c r="X112" s="143">
        <v>1</v>
      </c>
      <c r="Y112" s="143">
        <v>1</v>
      </c>
      <c r="Z112" s="143">
        <f>SUMIFS(S$5:S$18,P$5:P$18,P112,Q$5:Q$18,Q112,R$5:R$18,R112)</f>
        <v>22840</v>
      </c>
      <c r="AA112" s="143">
        <v>1</v>
      </c>
    </row>
    <row r="113" spans="14:27">
      <c r="N113" s="215" t="s">
        <v>506</v>
      </c>
      <c r="O113" s="102" t="s">
        <v>403</v>
      </c>
      <c r="P113" s="100" t="s">
        <v>195</v>
      </c>
      <c r="Q113" s="100" t="s">
        <v>195</v>
      </c>
      <c r="R113" s="173" t="s">
        <v>358</v>
      </c>
      <c r="S113" s="324">
        <f t="shared" si="22"/>
        <v>-0.3</v>
      </c>
      <c r="T113" s="597">
        <v>100</v>
      </c>
      <c r="U113" s="143">
        <v>2</v>
      </c>
      <c r="V113" s="278">
        <f t="shared" si="23"/>
        <v>-0.3</v>
      </c>
      <c r="W113" s="143">
        <f t="shared" si="24"/>
        <v>-256.12</v>
      </c>
      <c r="X113" s="143">
        <v>1</v>
      </c>
      <c r="Y113" s="143">
        <v>1</v>
      </c>
      <c r="Z113" s="143">
        <f>SUMIFS(S$5:S$18,P$5:P$18,P113,Q$5:Q$18,Q113,R$5:R$18,R113)</f>
        <v>853.73333333333335</v>
      </c>
      <c r="AA113" s="143">
        <v>1</v>
      </c>
    </row>
    <row r="114" spans="14:27">
      <c r="N114" s="216" t="s">
        <v>506</v>
      </c>
      <c r="O114" s="150" t="s">
        <v>403</v>
      </c>
      <c r="P114" s="152" t="s">
        <v>195</v>
      </c>
      <c r="Q114" s="152" t="s">
        <v>195</v>
      </c>
      <c r="R114" s="266" t="s">
        <v>368</v>
      </c>
      <c r="S114" s="325">
        <f t="shared" si="22"/>
        <v>60</v>
      </c>
      <c r="T114" s="597">
        <v>100</v>
      </c>
      <c r="U114" s="143">
        <v>2</v>
      </c>
      <c r="V114" s="278">
        <f t="shared" si="23"/>
        <v>60</v>
      </c>
      <c r="W114" s="143">
        <f t="shared" si="24"/>
        <v>730.00000000000011</v>
      </c>
      <c r="X114" s="143">
        <v>1</v>
      </c>
      <c r="Y114" s="143">
        <v>1</v>
      </c>
      <c r="Z114" s="143">
        <f>SUMIFS(S$5:S$18,P$5:P$18,P114,Q$5:Q$18,Q114,R$5:R$18,R114)</f>
        <v>12.166666666666668</v>
      </c>
      <c r="AA114" s="143">
        <v>1</v>
      </c>
    </row>
    <row r="115" spans="14:27">
      <c r="N115" s="219" t="s">
        <v>506</v>
      </c>
      <c r="O115" s="145" t="s">
        <v>29</v>
      </c>
      <c r="P115" s="146" t="s">
        <v>199</v>
      </c>
      <c r="Q115" s="146" t="s">
        <v>195</v>
      </c>
      <c r="R115" s="146" t="s">
        <v>285</v>
      </c>
      <c r="S115" s="220">
        <f t="shared" ref="S115:S129" ca="1" si="27">IF(R115="Unbilled",SUMIFS(S$74:S$88,R$74:R$88,R115),SUMIFS(S$101:S$114,P$101:P$114,P115,Q$101:Q$114,Q115,R$101:R$114,R115)*U115)</f>
        <v>66095.38249438761</v>
      </c>
      <c r="T115" s="143">
        <f t="shared" ref="T115:T129" ca="1" si="28">IF(R115="Unbilled",SUMIFS(S$74:S$88,R$74:R$88,R115),SUMIFS(V$101:V$114,P$101:P$114,P115,Q$101:Q$114,Q115,R$101:R$114,R115)*U115)</f>
        <v>68440.935928714025</v>
      </c>
      <c r="U115" s="143">
        <f t="shared" ref="U115:U129" si="29">SUMIFS(S$5:S$18,P$5:P$18,P115,Q$5:Q$18,Q115,R$5:R$18,R115)</f>
        <v>508.93495414173873</v>
      </c>
      <c r="V115" s="159"/>
      <c r="W115" s="159"/>
      <c r="X115" s="143"/>
      <c r="Y115" s="143"/>
      <c r="Z115" s="143"/>
      <c r="AA115" s="159"/>
    </row>
    <row r="116" spans="14:27">
      <c r="N116" s="215" t="s">
        <v>506</v>
      </c>
      <c r="O116" s="102" t="s">
        <v>29</v>
      </c>
      <c r="P116" s="148" t="s">
        <v>199</v>
      </c>
      <c r="Q116" s="148" t="s">
        <v>195</v>
      </c>
      <c r="R116" s="148" t="s">
        <v>194</v>
      </c>
      <c r="S116" s="217">
        <f t="shared" ca="1" si="27"/>
        <v>0</v>
      </c>
      <c r="T116" s="143">
        <f t="shared" ca="1" si="28"/>
        <v>0</v>
      </c>
      <c r="U116" s="143">
        <f t="shared" si="29"/>
        <v>495.84657534246583</v>
      </c>
      <c r="V116" s="159"/>
      <c r="W116" s="159"/>
      <c r="X116" s="143"/>
      <c r="Y116" s="143"/>
      <c r="Z116" s="143"/>
      <c r="AA116" s="159"/>
    </row>
    <row r="117" spans="14:27">
      <c r="N117" s="215" t="s">
        <v>506</v>
      </c>
      <c r="O117" s="102" t="s">
        <v>29</v>
      </c>
      <c r="P117" s="148" t="s">
        <v>200</v>
      </c>
      <c r="Q117" s="148" t="s">
        <v>203</v>
      </c>
      <c r="R117" s="148" t="s">
        <v>285</v>
      </c>
      <c r="S117" s="217">
        <f t="shared" ca="1" si="27"/>
        <v>255385.55497397663</v>
      </c>
      <c r="T117" s="143">
        <f t="shared" ca="1" si="28"/>
        <v>264448.52492649085</v>
      </c>
      <c r="U117" s="143">
        <f t="shared" si="29"/>
        <v>983.23536988517992</v>
      </c>
      <c r="V117" s="159"/>
      <c r="W117" s="159"/>
      <c r="X117" s="143"/>
      <c r="Y117" s="143"/>
      <c r="Z117" s="143"/>
      <c r="AA117" s="159"/>
    </row>
    <row r="118" spans="14:27">
      <c r="N118" s="215" t="s">
        <v>506</v>
      </c>
      <c r="O118" s="102" t="s">
        <v>29</v>
      </c>
      <c r="P118" s="148" t="s">
        <v>200</v>
      </c>
      <c r="Q118" s="148" t="s">
        <v>203</v>
      </c>
      <c r="R118" s="148" t="s">
        <v>194</v>
      </c>
      <c r="S118" s="217">
        <f t="shared" ca="1" si="27"/>
        <v>0</v>
      </c>
      <c r="T118" s="143">
        <f t="shared" ca="1" si="28"/>
        <v>0</v>
      </c>
      <c r="U118" s="143">
        <f t="shared" si="29"/>
        <v>2698.3863013698633</v>
      </c>
      <c r="V118" s="159"/>
      <c r="W118" s="458"/>
      <c r="X118" s="143"/>
      <c r="Y118" s="143"/>
      <c r="Z118" s="143"/>
      <c r="AA118" s="159"/>
    </row>
    <row r="119" spans="14:27">
      <c r="N119" s="215" t="s">
        <v>506</v>
      </c>
      <c r="O119" s="102" t="s">
        <v>29</v>
      </c>
      <c r="P119" s="148" t="s">
        <v>200</v>
      </c>
      <c r="Q119" s="148" t="s">
        <v>284</v>
      </c>
      <c r="R119" s="148" t="s">
        <v>194</v>
      </c>
      <c r="S119" s="217">
        <f t="shared" ca="1" si="27"/>
        <v>251521.99109589023</v>
      </c>
      <c r="T119" s="143">
        <f t="shared" ca="1" si="28"/>
        <v>260455.72154486575</v>
      </c>
      <c r="U119" s="143">
        <f t="shared" si="29"/>
        <v>441.46027397260241</v>
      </c>
      <c r="V119" s="159"/>
      <c r="W119" s="458"/>
      <c r="X119" s="143"/>
      <c r="Y119" s="143"/>
      <c r="Z119" s="143"/>
      <c r="AA119" s="159"/>
    </row>
    <row r="120" spans="14:27">
      <c r="N120" s="215" t="s">
        <v>506</v>
      </c>
      <c r="O120" s="102" t="s">
        <v>29</v>
      </c>
      <c r="P120" s="148" t="s">
        <v>200</v>
      </c>
      <c r="Q120" s="148" t="s">
        <v>204</v>
      </c>
      <c r="R120" s="148" t="s">
        <v>194</v>
      </c>
      <c r="S120" s="217">
        <f t="shared" ca="1" si="27"/>
        <v>30105.26999999999</v>
      </c>
      <c r="T120" s="143">
        <f t="shared" ca="1" si="28"/>
        <v>31174.621832226465</v>
      </c>
      <c r="U120" s="143">
        <f t="shared" si="29"/>
        <v>12.999999999999996</v>
      </c>
      <c r="V120" s="159"/>
      <c r="W120" s="458"/>
      <c r="X120" s="159"/>
      <c r="Y120" s="159"/>
      <c r="Z120" s="159"/>
      <c r="AA120" s="159"/>
    </row>
    <row r="121" spans="14:27">
      <c r="N121" s="215" t="s">
        <v>506</v>
      </c>
      <c r="O121" s="102" t="s">
        <v>29</v>
      </c>
      <c r="P121" s="148" t="s">
        <v>200</v>
      </c>
      <c r="Q121" s="148" t="s">
        <v>284</v>
      </c>
      <c r="R121" s="148" t="s">
        <v>281</v>
      </c>
      <c r="S121" s="217">
        <f t="shared" ca="1" si="27"/>
        <v>1654900.8096997675</v>
      </c>
      <c r="T121" s="143">
        <f t="shared" ca="1" si="28"/>
        <v>1713647.3607460915</v>
      </c>
      <c r="U121" s="143">
        <f t="shared" si="29"/>
        <v>42806.539309357671</v>
      </c>
      <c r="V121" s="159"/>
      <c r="W121" s="458"/>
      <c r="X121" s="159"/>
      <c r="Y121" s="159"/>
      <c r="Z121" s="159"/>
      <c r="AA121" s="159"/>
    </row>
    <row r="122" spans="14:27">
      <c r="N122" s="215" t="s">
        <v>506</v>
      </c>
      <c r="O122" s="102" t="s">
        <v>29</v>
      </c>
      <c r="P122" s="148" t="s">
        <v>200</v>
      </c>
      <c r="Q122" s="148" t="s">
        <v>204</v>
      </c>
      <c r="R122" s="148" t="s">
        <v>281</v>
      </c>
      <c r="S122" s="217">
        <f t="shared" ca="1" si="27"/>
        <v>173096.99812836302</v>
      </c>
      <c r="T122" s="143">
        <f t="shared" ca="1" si="28"/>
        <v>179237.59507577305</v>
      </c>
      <c r="U122" s="143">
        <f t="shared" si="29"/>
        <v>5726.0005996812115</v>
      </c>
      <c r="V122" s="159"/>
      <c r="W122" s="159"/>
      <c r="X122" s="159"/>
      <c r="Y122" s="159"/>
      <c r="Z122" s="159"/>
      <c r="AA122" s="159"/>
    </row>
    <row r="123" spans="14:27">
      <c r="N123" s="215" t="s">
        <v>506</v>
      </c>
      <c r="O123" s="102" t="s">
        <v>29</v>
      </c>
      <c r="P123" s="148" t="s">
        <v>195</v>
      </c>
      <c r="Q123" s="148" t="s">
        <v>203</v>
      </c>
      <c r="R123" s="148" t="s">
        <v>281</v>
      </c>
      <c r="S123" s="217">
        <f t="shared" ca="1" si="27"/>
        <v>2415860.0833279984</v>
      </c>
      <c r="T123" s="143">
        <f t="shared" ca="1" si="28"/>
        <v>2501592.6822093688</v>
      </c>
      <c r="U123" s="143">
        <f t="shared" si="29"/>
        <v>55806.423731300492</v>
      </c>
      <c r="V123" s="159"/>
      <c r="W123" s="159"/>
      <c r="X123" s="159"/>
      <c r="Y123" s="159"/>
      <c r="Z123" s="159"/>
      <c r="AA123" s="159"/>
    </row>
    <row r="124" spans="14:27">
      <c r="N124" s="215" t="s">
        <v>506</v>
      </c>
      <c r="O124" s="102" t="s">
        <v>29</v>
      </c>
      <c r="P124" s="148" t="s">
        <v>195</v>
      </c>
      <c r="Q124" s="148" t="s">
        <v>195</v>
      </c>
      <c r="R124" s="148" t="s">
        <v>6</v>
      </c>
      <c r="S124" s="217">
        <f t="shared" ca="1" si="27"/>
        <v>13668322.266542349</v>
      </c>
      <c r="T124" s="143">
        <f t="shared" ca="1" si="28"/>
        <v>14153197.290902918</v>
      </c>
      <c r="U124" s="143">
        <f t="shared" si="29"/>
        <v>163418487.16573825</v>
      </c>
      <c r="V124" s="159"/>
      <c r="W124" s="159"/>
      <c r="X124" s="159"/>
      <c r="Y124" s="159"/>
      <c r="Z124" s="159"/>
      <c r="AA124" s="159"/>
    </row>
    <row r="125" spans="14:27">
      <c r="N125" s="215" t="s">
        <v>506</v>
      </c>
      <c r="O125" s="102" t="s">
        <v>29</v>
      </c>
      <c r="P125" s="148" t="s">
        <v>195</v>
      </c>
      <c r="Q125" s="148" t="s">
        <v>195</v>
      </c>
      <c r="R125" s="148" t="s">
        <v>201</v>
      </c>
      <c r="S125" s="217">
        <f t="shared" si="27"/>
        <v>38128.813448275869</v>
      </c>
      <c r="T125" s="143">
        <f t="shared" si="28"/>
        <v>39540.991724137937</v>
      </c>
      <c r="U125" s="143">
        <f t="shared" si="29"/>
        <v>70608.913793103449</v>
      </c>
      <c r="V125" s="159"/>
      <c r="W125" s="159"/>
      <c r="X125" s="159"/>
      <c r="Y125" s="159"/>
      <c r="Z125" s="159"/>
      <c r="AA125" s="159"/>
    </row>
    <row r="126" spans="14:27">
      <c r="N126" s="215" t="s">
        <v>506</v>
      </c>
      <c r="O126" s="102" t="s">
        <v>29</v>
      </c>
      <c r="P126" s="148" t="s">
        <v>195</v>
      </c>
      <c r="Q126" s="148" t="s">
        <v>195</v>
      </c>
      <c r="R126" s="173" t="s">
        <v>367</v>
      </c>
      <c r="S126" s="217">
        <f t="shared" si="27"/>
        <v>-228.4</v>
      </c>
      <c r="T126" s="143">
        <f t="shared" si="28"/>
        <v>-228.4</v>
      </c>
      <c r="U126" s="143">
        <f t="shared" si="29"/>
        <v>22840</v>
      </c>
      <c r="V126" s="159"/>
      <c r="W126" s="159"/>
      <c r="X126" s="159"/>
      <c r="Y126" s="159"/>
      <c r="Z126" s="159"/>
      <c r="AA126" s="159"/>
    </row>
    <row r="127" spans="14:27">
      <c r="N127" s="215" t="s">
        <v>506</v>
      </c>
      <c r="O127" s="102" t="s">
        <v>29</v>
      </c>
      <c r="P127" s="148" t="s">
        <v>195</v>
      </c>
      <c r="Q127" s="148" t="s">
        <v>195</v>
      </c>
      <c r="R127" s="173" t="s">
        <v>358</v>
      </c>
      <c r="S127" s="217">
        <f t="shared" si="27"/>
        <v>-256.12</v>
      </c>
      <c r="T127" s="143">
        <f t="shared" si="28"/>
        <v>-256.12</v>
      </c>
      <c r="U127" s="143">
        <f t="shared" si="29"/>
        <v>853.73333333333335</v>
      </c>
      <c r="V127" s="159"/>
      <c r="W127" s="159"/>
      <c r="X127" s="159"/>
      <c r="Y127" s="159"/>
      <c r="Z127" s="159"/>
      <c r="AA127" s="159"/>
    </row>
    <row r="128" spans="14:27">
      <c r="N128" s="215" t="s">
        <v>506</v>
      </c>
      <c r="O128" s="102" t="s">
        <v>29</v>
      </c>
      <c r="P128" s="148" t="s">
        <v>195</v>
      </c>
      <c r="Q128" s="148" t="s">
        <v>195</v>
      </c>
      <c r="R128" s="173" t="s">
        <v>368</v>
      </c>
      <c r="S128" s="217">
        <f t="shared" si="27"/>
        <v>730.00000000000011</v>
      </c>
      <c r="T128" s="143">
        <f t="shared" si="28"/>
        <v>730.00000000000011</v>
      </c>
      <c r="U128" s="143">
        <f t="shared" si="29"/>
        <v>12.166666666666668</v>
      </c>
      <c r="V128" s="159"/>
      <c r="W128" s="159"/>
      <c r="X128" s="159"/>
      <c r="Y128" s="159"/>
      <c r="Z128" s="159"/>
      <c r="AA128" s="159"/>
    </row>
    <row r="129" spans="14:27">
      <c r="N129" s="216" t="s">
        <v>506</v>
      </c>
      <c r="O129" s="150" t="s">
        <v>29</v>
      </c>
      <c r="P129" s="152" t="s">
        <v>195</v>
      </c>
      <c r="Q129" s="152" t="s">
        <v>195</v>
      </c>
      <c r="R129" s="265" t="s">
        <v>168</v>
      </c>
      <c r="S129" s="218">
        <f t="shared" si="27"/>
        <v>-1729000</v>
      </c>
      <c r="T129" s="143">
        <f t="shared" si="28"/>
        <v>-1729000</v>
      </c>
      <c r="U129" s="143">
        <f t="shared" si="29"/>
        <v>0</v>
      </c>
      <c r="V129" s="159"/>
      <c r="W129" s="159"/>
      <c r="X129" s="159"/>
      <c r="Y129" s="159"/>
      <c r="Z129" s="159"/>
      <c r="AA129" s="159"/>
    </row>
    <row r="130" spans="14:27">
      <c r="T130" s="159"/>
      <c r="U130" s="159"/>
      <c r="V130" s="159"/>
      <c r="W130" s="159"/>
      <c r="X130" s="159"/>
      <c r="Y130" s="159"/>
      <c r="Z130" s="159"/>
      <c r="AA130" s="159"/>
    </row>
    <row r="131" spans="14:27">
      <c r="S131" s="561" t="s">
        <v>215</v>
      </c>
      <c r="T131" s="441"/>
      <c r="U131" s="159"/>
      <c r="V131" s="159"/>
      <c r="W131" s="159"/>
      <c r="X131" s="159"/>
      <c r="Y131" s="159"/>
      <c r="Z131" s="159"/>
      <c r="AA131" s="159"/>
    </row>
    <row r="132" spans="14:27">
      <c r="S132" s="562" t="s">
        <v>501</v>
      </c>
      <c r="T132" s="560">
        <f ca="1">SUM(T74:T88)-SUM(S48:S51)</f>
        <v>0</v>
      </c>
    </row>
    <row r="133" spans="14:27">
      <c r="S133" s="563" t="s">
        <v>503</v>
      </c>
      <c r="T133" s="548">
        <f ca="1">SUM(T115:T129)-SUM(S89:S92)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5" manualBreakCount="5">
    <brk id="32" min="13" max="18" man="1"/>
    <brk id="47" min="13" max="18" man="1"/>
    <brk id="59" min="13" max="18" man="1"/>
    <brk id="88" min="13" max="18" man="1"/>
    <brk id="100" min="13" max="18" man="1"/>
  </rowBreaks>
  <ignoredErrors>
    <ignoredError sqref="V5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B563-30D9-446A-B9D1-466CB359DA33}">
  <sheetPr>
    <pageSetUpPr fitToPage="1"/>
  </sheetPr>
  <dimension ref="A1:L187"/>
  <sheetViews>
    <sheetView showGridLines="0" view="pageBreakPreview" zoomScale="70" zoomScaleNormal="70" zoomScaleSheetLayoutView="70" workbookViewId="0">
      <pane ySplit="6" topLeftCell="A7" activePane="bottomLeft" state="frozen"/>
      <selection activeCell="G59" sqref="G59"/>
      <selection pane="bottomLeft" activeCell="A7" sqref="A7"/>
    </sheetView>
  </sheetViews>
  <sheetFormatPr defaultRowHeight="15.75"/>
  <cols>
    <col min="1" max="1" width="21.375" style="157" bestFit="1" customWidth="1"/>
    <col min="2" max="2" width="7.125" style="157" bestFit="1" customWidth="1"/>
    <col min="3" max="3" width="12.25" style="157" bestFit="1" customWidth="1"/>
    <col min="4" max="4" width="12.625" style="157" bestFit="1" customWidth="1"/>
    <col min="5" max="5" width="7.625" style="157" bestFit="1" customWidth="1"/>
    <col min="6" max="6" width="41.5" style="157" bestFit="1" customWidth="1"/>
    <col min="7" max="7" width="11.25" style="158" bestFit="1" customWidth="1"/>
    <col min="8" max="12" width="12.75" style="1" customWidth="1"/>
    <col min="13" max="16384" width="9" style="1"/>
  </cols>
  <sheetData>
    <row r="1" spans="1:7">
      <c r="A1" s="272" t="s">
        <v>416</v>
      </c>
      <c r="B1" s="252"/>
      <c r="C1" s="252"/>
      <c r="D1" s="252"/>
      <c r="E1" s="252"/>
      <c r="F1" s="252"/>
      <c r="G1" s="254"/>
    </row>
    <row r="2" spans="1:7">
      <c r="A2" s="273" t="s">
        <v>417</v>
      </c>
      <c r="B2" s="255"/>
      <c r="C2" s="255"/>
      <c r="D2" s="255"/>
      <c r="E2" s="255"/>
      <c r="F2" s="255"/>
      <c r="G2" s="271"/>
    </row>
    <row r="3" spans="1:7">
      <c r="A3" s="273" t="s">
        <v>557</v>
      </c>
      <c r="B3" s="255"/>
      <c r="C3" s="255"/>
      <c r="D3" s="255"/>
      <c r="E3" s="255"/>
      <c r="F3" s="255"/>
      <c r="G3" s="271"/>
    </row>
    <row r="4" spans="1:7">
      <c r="A4" s="619" t="s">
        <v>562</v>
      </c>
      <c r="B4" s="255"/>
      <c r="C4" s="255"/>
      <c r="D4" s="255"/>
      <c r="E4" s="255"/>
      <c r="F4" s="255"/>
      <c r="G4" s="271"/>
    </row>
    <row r="5" spans="1:7" s="159" customFormat="1">
      <c r="A5" s="256" t="s">
        <v>407</v>
      </c>
      <c r="B5" s="257"/>
      <c r="C5" s="257"/>
      <c r="D5" s="258"/>
      <c r="E5" s="258"/>
      <c r="F5" s="259"/>
      <c r="G5" s="260"/>
    </row>
    <row r="6" spans="1:7" s="159" customFormat="1">
      <c r="A6" s="233"/>
      <c r="B6" s="233"/>
      <c r="C6" s="233" t="s">
        <v>418</v>
      </c>
      <c r="D6" s="233" t="s">
        <v>153</v>
      </c>
      <c r="E6" s="233" t="s">
        <v>193</v>
      </c>
      <c r="F6" s="234" t="s">
        <v>401</v>
      </c>
      <c r="G6" s="235" t="s">
        <v>206</v>
      </c>
    </row>
    <row r="7" spans="1:7" s="159" customFormat="1">
      <c r="A7" s="262" t="s">
        <v>217</v>
      </c>
      <c r="B7" s="145" t="s">
        <v>402</v>
      </c>
      <c r="C7" s="145" t="s">
        <v>169</v>
      </c>
      <c r="D7" s="144" t="s">
        <v>4</v>
      </c>
      <c r="E7" s="145" t="s">
        <v>195</v>
      </c>
      <c r="F7" s="144" t="s">
        <v>337</v>
      </c>
      <c r="G7" s="144">
        <f>SUMIFS('Normalized Units'!I:I,'Normalized Units'!B:B,"Normalized Billing Units",'Normalized Units'!C:C,C7,'Normalized Units'!D:D,D7,'Normalized Units'!F:F,E7,'Normalized Units'!H:H,F7)</f>
        <v>11358.954476087458</v>
      </c>
    </row>
    <row r="8" spans="1:7" s="159" customFormat="1">
      <c r="A8" s="237" t="s">
        <v>217</v>
      </c>
      <c r="B8" s="102" t="s">
        <v>402</v>
      </c>
      <c r="C8" s="102" t="s">
        <v>169</v>
      </c>
      <c r="D8" s="100" t="s">
        <v>4</v>
      </c>
      <c r="E8" s="102" t="s">
        <v>195</v>
      </c>
      <c r="F8" s="100" t="s">
        <v>338</v>
      </c>
      <c r="G8" s="100">
        <f>SUMIFS('Normalized Units'!I:I,'Normalized Units'!B:B,"Normalized Billing Units",'Normalized Units'!C:C,C8,'Normalized Units'!D:D,D8,'Normalized Units'!F:F,E8,'Normalized Units'!H:H,F8)</f>
        <v>526.33326791014065</v>
      </c>
    </row>
    <row r="9" spans="1:7" s="159" customFormat="1">
      <c r="A9" s="237" t="s">
        <v>217</v>
      </c>
      <c r="B9" s="102" t="s">
        <v>402</v>
      </c>
      <c r="C9" s="102" t="s">
        <v>169</v>
      </c>
      <c r="D9" s="100" t="s">
        <v>4</v>
      </c>
      <c r="E9" s="102" t="s">
        <v>195</v>
      </c>
      <c r="F9" s="100" t="s">
        <v>339</v>
      </c>
      <c r="G9" s="100">
        <f>SUMIFS('Normalized Units'!I:I,'Normalized Units'!B:B,"Normalized Billing Units",'Normalized Units'!C:C,C9,'Normalized Units'!D:D,D9,'Normalized Units'!F:F,E9,'Normalized Units'!H:H,F9)</f>
        <v>24.000151301886131</v>
      </c>
    </row>
    <row r="10" spans="1:7" s="159" customFormat="1">
      <c r="A10" s="237" t="s">
        <v>217</v>
      </c>
      <c r="B10" s="102" t="s">
        <v>402</v>
      </c>
      <c r="C10" s="102" t="s">
        <v>169</v>
      </c>
      <c r="D10" s="100" t="s">
        <v>5</v>
      </c>
      <c r="E10" s="102" t="s">
        <v>195</v>
      </c>
      <c r="F10" s="100" t="s">
        <v>337</v>
      </c>
      <c r="G10" s="100">
        <f>SUMIFS('Normalized Units'!I:I,'Normalized Units'!B:B,"Normalized Billing Units",'Normalized Units'!C:C,C10,'Normalized Units'!D:D,D10,'Normalized Units'!F:F,E10,'Normalized Units'!H:H,F10)</f>
        <v>13292.36576712665</v>
      </c>
    </row>
    <row r="11" spans="1:7" s="159" customFormat="1">
      <c r="A11" s="237" t="s">
        <v>217</v>
      </c>
      <c r="B11" s="102" t="s">
        <v>402</v>
      </c>
      <c r="C11" s="102" t="s">
        <v>169</v>
      </c>
      <c r="D11" s="100" t="s">
        <v>5</v>
      </c>
      <c r="E11" s="102" t="s">
        <v>195</v>
      </c>
      <c r="F11" s="100" t="s">
        <v>338</v>
      </c>
      <c r="G11" s="100">
        <f>SUMIFS('Normalized Units'!I:I,'Normalized Units'!B:B,"Normalized Billing Units",'Normalized Units'!C:C,C11,'Normalized Units'!D:D,D11,'Normalized Units'!F:F,E11,'Normalized Units'!H:H,F11)</f>
        <v>4567.0003983882498</v>
      </c>
    </row>
    <row r="12" spans="1:7" s="159" customFormat="1">
      <c r="A12" s="237" t="s">
        <v>217</v>
      </c>
      <c r="B12" s="102" t="s">
        <v>402</v>
      </c>
      <c r="C12" s="102" t="s">
        <v>169</v>
      </c>
      <c r="D12" s="100" t="s">
        <v>5</v>
      </c>
      <c r="E12" s="102" t="s">
        <v>195</v>
      </c>
      <c r="F12" s="100" t="s">
        <v>339</v>
      </c>
      <c r="G12" s="100">
        <f>SUMIFS('Normalized Units'!I:I,'Normalized Units'!B:B,"Normalized Billing Units",'Normalized Units'!C:C,C12,'Normalized Units'!D:D,D12,'Normalized Units'!F:F,E12,'Normalized Units'!H:H,F12)</f>
        <v>953.11491762270532</v>
      </c>
    </row>
    <row r="13" spans="1:7" s="159" customFormat="1">
      <c r="A13" s="237" t="s">
        <v>217</v>
      </c>
      <c r="B13" s="102" t="s">
        <v>402</v>
      </c>
      <c r="C13" s="102" t="s">
        <v>169</v>
      </c>
      <c r="D13" s="100" t="s">
        <v>7</v>
      </c>
      <c r="E13" s="102" t="s">
        <v>195</v>
      </c>
      <c r="F13" s="100" t="s">
        <v>337</v>
      </c>
      <c r="G13" s="100">
        <f>SUMIFS('Normalized Units'!I:I,'Normalized Units'!B:B,"Normalized Billing Units",'Normalized Units'!C:C,C13,'Normalized Units'!D:D,D13,'Normalized Units'!F:F,E13,'Normalized Units'!H:H,F13)</f>
        <v>553.77376815090633</v>
      </c>
    </row>
    <row r="14" spans="1:7" s="159" customFormat="1">
      <c r="A14" s="237" t="s">
        <v>217</v>
      </c>
      <c r="B14" s="102" t="s">
        <v>402</v>
      </c>
      <c r="C14" s="102" t="s">
        <v>169</v>
      </c>
      <c r="D14" s="100" t="s">
        <v>7</v>
      </c>
      <c r="E14" s="102" t="s">
        <v>195</v>
      </c>
      <c r="F14" s="100" t="s">
        <v>338</v>
      </c>
      <c r="G14" s="100">
        <f>SUMIFS('Normalized Units'!I:I,'Normalized Units'!B:B,"Normalized Billing Units",'Normalized Units'!C:C,C14,'Normalized Units'!D:D,D14,'Normalized Units'!F:F,E14,'Normalized Units'!H:H,F14)</f>
        <v>432.00177682459218</v>
      </c>
    </row>
    <row r="15" spans="1:7" s="159" customFormat="1">
      <c r="A15" s="237" t="s">
        <v>217</v>
      </c>
      <c r="B15" s="102" t="s">
        <v>402</v>
      </c>
      <c r="C15" s="102" t="s">
        <v>169</v>
      </c>
      <c r="D15" s="100" t="s">
        <v>7</v>
      </c>
      <c r="E15" s="102" t="s">
        <v>195</v>
      </c>
      <c r="F15" s="100" t="s">
        <v>339</v>
      </c>
      <c r="G15" s="100">
        <f>SUMIFS('Normalized Units'!I:I,'Normalized Units'!B:B,"Normalized Billing Units",'Normalized Units'!C:C,C15,'Normalized Units'!D:D,D15,'Normalized Units'!F:F,E15,'Normalized Units'!H:H,F15)</f>
        <v>36.000950710147876</v>
      </c>
    </row>
    <row r="16" spans="1:7" s="159" customFormat="1">
      <c r="A16" s="237" t="s">
        <v>217</v>
      </c>
      <c r="B16" s="102" t="s">
        <v>402</v>
      </c>
      <c r="C16" s="102" t="s">
        <v>170</v>
      </c>
      <c r="D16" s="102" t="s">
        <v>167</v>
      </c>
      <c r="E16" s="102" t="s">
        <v>195</v>
      </c>
      <c r="F16" s="100" t="s">
        <v>337</v>
      </c>
      <c r="G16" s="100">
        <f>SUMIFS('Normalized Units'!I:I,'Normalized Units'!B:B,"Normalized Billing Units",'Normalized Units'!C:C,C16,'Normalized Units'!D:D,D16,'Normalized Units'!F:F,E16,'Normalized Units'!H:H,F16)</f>
        <v>382.93389518695301</v>
      </c>
    </row>
    <row r="17" spans="1:7" s="159" customFormat="1">
      <c r="A17" s="237" t="s">
        <v>217</v>
      </c>
      <c r="B17" s="102" t="s">
        <v>402</v>
      </c>
      <c r="C17" s="102" t="s">
        <v>170</v>
      </c>
      <c r="D17" s="102" t="s">
        <v>167</v>
      </c>
      <c r="E17" s="102" t="s">
        <v>195</v>
      </c>
      <c r="F17" s="100" t="s">
        <v>338</v>
      </c>
      <c r="G17" s="100">
        <f>SUMIFS('Normalized Units'!I:I,'Normalized Units'!B:B,"Normalized Billing Units",'Normalized Units'!C:C,C17,'Normalized Units'!D:D,D17,'Normalized Units'!F:F,E17,'Normalized Units'!H:H,F17)</f>
        <v>3558.2369917005844</v>
      </c>
    </row>
    <row r="18" spans="1:7" s="159" customFormat="1">
      <c r="A18" s="237" t="s">
        <v>217</v>
      </c>
      <c r="B18" s="102" t="s">
        <v>402</v>
      </c>
      <c r="C18" s="102" t="s">
        <v>170</v>
      </c>
      <c r="D18" s="102" t="s">
        <v>167</v>
      </c>
      <c r="E18" s="102" t="s">
        <v>195</v>
      </c>
      <c r="F18" s="100" t="s">
        <v>339</v>
      </c>
      <c r="G18" s="100">
        <f>SUMIFS('Normalized Units'!I:I,'Normalized Units'!B:B,"Normalized Billing Units",'Normalized Units'!C:C,C18,'Normalized Units'!D:D,D18,'Normalized Units'!F:F,E18,'Normalized Units'!H:H,F18)</f>
        <v>670.30171191440525</v>
      </c>
    </row>
    <row r="19" spans="1:7" s="159" customFormat="1">
      <c r="A19" s="237" t="s">
        <v>217</v>
      </c>
      <c r="B19" s="102" t="s">
        <v>402</v>
      </c>
      <c r="C19" s="102" t="s">
        <v>170</v>
      </c>
      <c r="D19" s="102" t="s">
        <v>167</v>
      </c>
      <c r="E19" s="102" t="s">
        <v>195</v>
      </c>
      <c r="F19" s="100" t="s">
        <v>340</v>
      </c>
      <c r="G19" s="100">
        <f>SUMIFS('Normalized Units'!I:I,'Normalized Units'!B:B,"Normalized Billing Units",'Normalized Units'!C:C,C19,'Normalized Units'!D:D,D19,'Normalized Units'!F:F,E19,'Normalized Units'!H:H,F19)</f>
        <v>2337.4062264139297</v>
      </c>
    </row>
    <row r="20" spans="1:7" s="159" customFormat="1">
      <c r="A20" s="237" t="s">
        <v>217</v>
      </c>
      <c r="B20" s="102" t="s">
        <v>402</v>
      </c>
      <c r="C20" s="102" t="s">
        <v>170</v>
      </c>
      <c r="D20" s="102" t="s">
        <v>167</v>
      </c>
      <c r="E20" s="102" t="s">
        <v>195</v>
      </c>
      <c r="F20" s="100" t="s">
        <v>341</v>
      </c>
      <c r="G20" s="100">
        <f>SUMIFS('Normalized Units'!I:I,'Normalized Units'!B:B,"Normalized Billing Units",'Normalized Units'!C:C,C20,'Normalized Units'!D:D,D20,'Normalized Units'!F:F,E20,'Normalized Units'!H:H,F20)</f>
        <v>2940.6303782198192</v>
      </c>
    </row>
    <row r="21" spans="1:7" s="159" customFormat="1">
      <c r="A21" s="237" t="s">
        <v>217</v>
      </c>
      <c r="B21" s="102" t="s">
        <v>402</v>
      </c>
      <c r="C21" s="102" t="s">
        <v>170</v>
      </c>
      <c r="D21" s="102" t="s">
        <v>167</v>
      </c>
      <c r="E21" s="102" t="s">
        <v>195</v>
      </c>
      <c r="F21" s="100" t="s">
        <v>342</v>
      </c>
      <c r="G21" s="100">
        <f>SUMIFS('Normalized Units'!I:I,'Normalized Units'!B:B,"Normalized Billing Units",'Normalized Units'!C:C,C21,'Normalized Units'!D:D,D21,'Normalized Units'!F:F,E21,'Normalized Units'!H:H,F21)</f>
        <v>1226.7485812663319</v>
      </c>
    </row>
    <row r="22" spans="1:7" s="159" customFormat="1">
      <c r="A22" s="237" t="s">
        <v>217</v>
      </c>
      <c r="B22" s="102" t="s">
        <v>402</v>
      </c>
      <c r="C22" s="102" t="s">
        <v>170</v>
      </c>
      <c r="D22" s="102" t="s">
        <v>167</v>
      </c>
      <c r="E22" s="102" t="s">
        <v>195</v>
      </c>
      <c r="F22" s="100" t="s">
        <v>343</v>
      </c>
      <c r="G22" s="100">
        <f>SUMIFS('Normalized Units'!I:I,'Normalized Units'!B:B,"Normalized Billing Units",'Normalized Units'!C:C,C22,'Normalized Units'!D:D,D22,'Normalized Units'!F:F,E22,'Normalized Units'!H:H,F22)</f>
        <v>26579.096109647213</v>
      </c>
    </row>
    <row r="23" spans="1:7" s="159" customFormat="1">
      <c r="A23" s="237" t="s">
        <v>217</v>
      </c>
      <c r="B23" s="102" t="s">
        <v>402</v>
      </c>
      <c r="C23" s="102" t="s">
        <v>170</v>
      </c>
      <c r="D23" s="102" t="s">
        <v>167</v>
      </c>
      <c r="E23" s="102" t="s">
        <v>195</v>
      </c>
      <c r="F23" s="100" t="s">
        <v>344</v>
      </c>
      <c r="G23" s="100">
        <f>SUMIFS('Normalized Units'!I:I,'Normalized Units'!B:B,"Normalized Billing Units",'Normalized Units'!C:C,C23,'Normalized Units'!D:D,D23,'Normalized Units'!F:F,E23,'Normalized Units'!H:H,F23)</f>
        <v>20543.462638465189</v>
      </c>
    </row>
    <row r="24" spans="1:7" s="159" customFormat="1">
      <c r="A24" s="237" t="s">
        <v>217</v>
      </c>
      <c r="B24" s="102" t="s">
        <v>402</v>
      </c>
      <c r="C24" s="102" t="s">
        <v>170</v>
      </c>
      <c r="D24" s="102" t="s">
        <v>167</v>
      </c>
      <c r="E24" s="102" t="s">
        <v>195</v>
      </c>
      <c r="F24" s="100" t="s">
        <v>345</v>
      </c>
      <c r="G24" s="100">
        <f>SUMIFS('Normalized Units'!I:I,'Normalized Units'!B:B,"Normalized Billing Units",'Normalized Units'!C:C,C24,'Normalized Units'!D:D,D24,'Normalized Units'!F:F,E24,'Normalized Units'!H:H,F24)</f>
        <v>983.99704050185335</v>
      </c>
    </row>
    <row r="25" spans="1:7" s="159" customFormat="1">
      <c r="A25" s="237" t="s">
        <v>217</v>
      </c>
      <c r="B25" s="102" t="s">
        <v>402</v>
      </c>
      <c r="C25" s="102" t="s">
        <v>170</v>
      </c>
      <c r="D25" s="102" t="s">
        <v>167</v>
      </c>
      <c r="E25" s="102" t="s">
        <v>195</v>
      </c>
      <c r="F25" s="100" t="s">
        <v>346</v>
      </c>
      <c r="G25" s="100">
        <f>SUMIFS('Normalized Units'!I:I,'Normalized Units'!B:B,"Normalized Billing Units",'Normalized Units'!C:C,C25,'Normalized Units'!D:D,D25,'Normalized Units'!F:F,E25,'Normalized Units'!H:H,F25)</f>
        <v>18658.617894870746</v>
      </c>
    </row>
    <row r="26" spans="1:7" s="159" customFormat="1">
      <c r="A26" s="237" t="s">
        <v>217</v>
      </c>
      <c r="B26" s="102" t="s">
        <v>402</v>
      </c>
      <c r="C26" s="102" t="s">
        <v>170</v>
      </c>
      <c r="D26" s="102" t="s">
        <v>167</v>
      </c>
      <c r="E26" s="102" t="s">
        <v>195</v>
      </c>
      <c r="F26" s="100" t="s">
        <v>347</v>
      </c>
      <c r="G26" s="100">
        <f>SUMIFS('Normalized Units'!I:I,'Normalized Units'!B:B,"Normalized Billing Units",'Normalized Units'!C:C,C26,'Normalized Units'!D:D,D26,'Normalized Units'!F:F,E26,'Normalized Units'!H:H,F26)</f>
        <v>2440.0357828284577</v>
      </c>
    </row>
    <row r="27" spans="1:7" s="159" customFormat="1">
      <c r="A27" s="237" t="s">
        <v>217</v>
      </c>
      <c r="B27" s="102" t="s">
        <v>402</v>
      </c>
      <c r="C27" s="102" t="s">
        <v>170</v>
      </c>
      <c r="D27" s="102" t="s">
        <v>167</v>
      </c>
      <c r="E27" s="102" t="s">
        <v>195</v>
      </c>
      <c r="F27" s="100" t="s">
        <v>348</v>
      </c>
      <c r="G27" s="100">
        <f>SUMIFS('Normalized Units'!I:I,'Normalized Units'!B:B,"Normalized Billing Units",'Normalized Units'!C:C,C27,'Normalized Units'!D:D,D27,'Normalized Units'!F:F,E27,'Normalized Units'!H:H,F27)</f>
        <v>3095.9975745689503</v>
      </c>
    </row>
    <row r="28" spans="1:7" s="159" customFormat="1">
      <c r="A28" s="237" t="s">
        <v>217</v>
      </c>
      <c r="B28" s="102" t="s">
        <v>402</v>
      </c>
      <c r="C28" s="100" t="s">
        <v>227</v>
      </c>
      <c r="D28" s="102" t="s">
        <v>167</v>
      </c>
      <c r="E28" s="102" t="s">
        <v>195</v>
      </c>
      <c r="F28" s="100" t="s">
        <v>6</v>
      </c>
      <c r="G28" s="100">
        <f>SUMIFS('Normalized Units'!I:I,'Normalized Units'!B:B,"Normalized Billing Units",'Normalized Units'!C:C,C28,'Normalized Units'!D:D,D28,'Normalized Units'!F:F,E28,'Normalized Units'!H:H,F28)</f>
        <v>2111889.0151406806</v>
      </c>
    </row>
    <row r="29" spans="1:7" s="159" customFormat="1">
      <c r="A29" s="237" t="s">
        <v>217</v>
      </c>
      <c r="B29" s="102" t="s">
        <v>402</v>
      </c>
      <c r="C29" s="100" t="s">
        <v>171</v>
      </c>
      <c r="D29" s="102" t="s">
        <v>5</v>
      </c>
      <c r="E29" s="100" t="s">
        <v>199</v>
      </c>
      <c r="F29" s="102" t="s">
        <v>335</v>
      </c>
      <c r="G29" s="100">
        <f>SUMIFS('Normalized Units'!I:I,'Normalized Units'!B:B,"Normalized Billing Units",'Normalized Units'!C:C,C29,'Normalized Units'!D:D,D29,'Normalized Units'!F:F,E29,'Normalized Units'!H:H,F29)</f>
        <v>138.90042674253201</v>
      </c>
    </row>
    <row r="30" spans="1:7" s="159" customFormat="1">
      <c r="A30" s="237" t="s">
        <v>217</v>
      </c>
      <c r="B30" s="102" t="s">
        <v>402</v>
      </c>
      <c r="C30" s="100" t="s">
        <v>171</v>
      </c>
      <c r="D30" s="102" t="s">
        <v>5</v>
      </c>
      <c r="E30" s="100" t="s">
        <v>200</v>
      </c>
      <c r="F30" s="102" t="s">
        <v>335</v>
      </c>
      <c r="G30" s="100">
        <f>SUMIFS('Normalized Units'!I:I,'Normalized Units'!B:B,"Normalized Billing Units",'Normalized Units'!C:C,C30,'Normalized Units'!D:D,D30,'Normalized Units'!F:F,E30,'Normalized Units'!H:H,F30)</f>
        <v>168</v>
      </c>
    </row>
    <row r="31" spans="1:7" s="159" customFormat="1">
      <c r="A31" s="263" t="s">
        <v>217</v>
      </c>
      <c r="B31" s="150" t="s">
        <v>402</v>
      </c>
      <c r="C31" s="152" t="s">
        <v>171</v>
      </c>
      <c r="D31" s="150" t="s">
        <v>5</v>
      </c>
      <c r="E31" s="150" t="s">
        <v>195</v>
      </c>
      <c r="F31" s="152" t="s">
        <v>6</v>
      </c>
      <c r="G31" s="152">
        <f>SUMIFS('Normalized Units'!I:I,'Normalized Units'!B:B,"Normalized Billing Units",'Normalized Units'!C:C,C31,'Normalized Units'!D:D,D31,'Normalized Units'!F:F,E31,'Normalized Units'!H:H,F31)</f>
        <v>312414.5359818064</v>
      </c>
    </row>
    <row r="32" spans="1:7" s="143" customFormat="1">
      <c r="A32" s="145" t="s">
        <v>406</v>
      </c>
      <c r="B32" s="145" t="s">
        <v>403</v>
      </c>
      <c r="C32" s="145" t="s">
        <v>169</v>
      </c>
      <c r="D32" s="144" t="s">
        <v>195</v>
      </c>
      <c r="E32" s="145" t="s">
        <v>195</v>
      </c>
      <c r="F32" s="144" t="s">
        <v>337</v>
      </c>
      <c r="G32" s="323">
        <v>8.6999999999999993</v>
      </c>
    </row>
    <row r="33" spans="1:7" s="143" customFormat="1">
      <c r="A33" s="102" t="s">
        <v>406</v>
      </c>
      <c r="B33" s="102" t="s">
        <v>403</v>
      </c>
      <c r="C33" s="102" t="s">
        <v>169</v>
      </c>
      <c r="D33" s="100" t="s">
        <v>195</v>
      </c>
      <c r="E33" s="102" t="s">
        <v>195</v>
      </c>
      <c r="F33" s="100" t="s">
        <v>338</v>
      </c>
      <c r="G33" s="324">
        <v>10.31</v>
      </c>
    </row>
    <row r="34" spans="1:7" s="143" customFormat="1">
      <c r="A34" s="102" t="s">
        <v>406</v>
      </c>
      <c r="B34" s="102" t="s">
        <v>403</v>
      </c>
      <c r="C34" s="102" t="s">
        <v>169</v>
      </c>
      <c r="D34" s="100" t="s">
        <v>195</v>
      </c>
      <c r="E34" s="102" t="s">
        <v>195</v>
      </c>
      <c r="F34" s="100" t="s">
        <v>339</v>
      </c>
      <c r="G34" s="324">
        <v>12.82</v>
      </c>
    </row>
    <row r="35" spans="1:7" s="143" customFormat="1">
      <c r="A35" s="102" t="s">
        <v>406</v>
      </c>
      <c r="B35" s="102" t="s">
        <v>403</v>
      </c>
      <c r="C35" s="102" t="s">
        <v>170</v>
      </c>
      <c r="D35" s="100" t="s">
        <v>195</v>
      </c>
      <c r="E35" s="102" t="s">
        <v>195</v>
      </c>
      <c r="F35" s="100" t="s">
        <v>337</v>
      </c>
      <c r="G35" s="324">
        <v>8.6300000000000008</v>
      </c>
    </row>
    <row r="36" spans="1:7" s="143" customFormat="1">
      <c r="A36" s="102" t="s">
        <v>406</v>
      </c>
      <c r="B36" s="102" t="s">
        <v>403</v>
      </c>
      <c r="C36" s="102" t="s">
        <v>170</v>
      </c>
      <c r="D36" s="100" t="s">
        <v>195</v>
      </c>
      <c r="E36" s="102" t="s">
        <v>195</v>
      </c>
      <c r="F36" s="100" t="s">
        <v>338</v>
      </c>
      <c r="G36" s="324">
        <v>9.4700000000000006</v>
      </c>
    </row>
    <row r="37" spans="1:7" s="143" customFormat="1">
      <c r="A37" s="102" t="s">
        <v>406</v>
      </c>
      <c r="B37" s="102" t="s">
        <v>403</v>
      </c>
      <c r="C37" s="102" t="s">
        <v>170</v>
      </c>
      <c r="D37" s="100" t="s">
        <v>195</v>
      </c>
      <c r="E37" s="102" t="s">
        <v>195</v>
      </c>
      <c r="F37" s="100" t="s">
        <v>339</v>
      </c>
      <c r="G37" s="324">
        <v>10.050000000000001</v>
      </c>
    </row>
    <row r="38" spans="1:7" s="143" customFormat="1">
      <c r="A38" s="102" t="s">
        <v>406</v>
      </c>
      <c r="B38" s="102" t="s">
        <v>403</v>
      </c>
      <c r="C38" s="102" t="s">
        <v>170</v>
      </c>
      <c r="D38" s="100" t="s">
        <v>195</v>
      </c>
      <c r="E38" s="102" t="s">
        <v>195</v>
      </c>
      <c r="F38" s="100" t="s">
        <v>340</v>
      </c>
      <c r="G38" s="324">
        <v>10.64</v>
      </c>
    </row>
    <row r="39" spans="1:7" s="143" customFormat="1">
      <c r="A39" s="102" t="s">
        <v>406</v>
      </c>
      <c r="B39" s="102" t="s">
        <v>403</v>
      </c>
      <c r="C39" s="102" t="s">
        <v>170</v>
      </c>
      <c r="D39" s="100" t="s">
        <v>195</v>
      </c>
      <c r="E39" s="102" t="s">
        <v>195</v>
      </c>
      <c r="F39" s="100" t="s">
        <v>341</v>
      </c>
      <c r="G39" s="324">
        <v>11.53</v>
      </c>
    </row>
    <row r="40" spans="1:7" s="143" customFormat="1">
      <c r="A40" s="102" t="s">
        <v>406</v>
      </c>
      <c r="B40" s="102" t="s">
        <v>403</v>
      </c>
      <c r="C40" s="102" t="s">
        <v>170</v>
      </c>
      <c r="D40" s="100" t="s">
        <v>195</v>
      </c>
      <c r="E40" s="102" t="s">
        <v>195</v>
      </c>
      <c r="F40" s="100" t="s">
        <v>342</v>
      </c>
      <c r="G40" s="324">
        <v>14.16</v>
      </c>
    </row>
    <row r="41" spans="1:7" s="143" customFormat="1">
      <c r="A41" s="102" t="s">
        <v>406</v>
      </c>
      <c r="B41" s="102" t="s">
        <v>403</v>
      </c>
      <c r="C41" s="102" t="s">
        <v>170</v>
      </c>
      <c r="D41" s="100" t="s">
        <v>195</v>
      </c>
      <c r="E41" s="102" t="s">
        <v>195</v>
      </c>
      <c r="F41" s="100" t="s">
        <v>343</v>
      </c>
      <c r="G41" s="324">
        <v>4.38</v>
      </c>
    </row>
    <row r="42" spans="1:7" s="143" customFormat="1">
      <c r="A42" s="102" t="s">
        <v>406</v>
      </c>
      <c r="B42" s="102" t="s">
        <v>403</v>
      </c>
      <c r="C42" s="102" t="s">
        <v>170</v>
      </c>
      <c r="D42" s="100" t="s">
        <v>195</v>
      </c>
      <c r="E42" s="102" t="s">
        <v>195</v>
      </c>
      <c r="F42" s="100" t="s">
        <v>344</v>
      </c>
      <c r="G42" s="324">
        <v>4.93</v>
      </c>
    </row>
    <row r="43" spans="1:7" s="143" customFormat="1">
      <c r="A43" s="102" t="s">
        <v>406</v>
      </c>
      <c r="B43" s="102" t="s">
        <v>403</v>
      </c>
      <c r="C43" s="102" t="s">
        <v>170</v>
      </c>
      <c r="D43" s="100" t="s">
        <v>195</v>
      </c>
      <c r="E43" s="102" t="s">
        <v>195</v>
      </c>
      <c r="F43" s="100" t="s">
        <v>345</v>
      </c>
      <c r="G43" s="324">
        <v>5.49</v>
      </c>
    </row>
    <row r="44" spans="1:7" s="143" customFormat="1">
      <c r="A44" s="102" t="s">
        <v>406</v>
      </c>
      <c r="B44" s="102" t="s">
        <v>403</v>
      </c>
      <c r="C44" s="102" t="s">
        <v>170</v>
      </c>
      <c r="D44" s="100" t="s">
        <v>195</v>
      </c>
      <c r="E44" s="102" t="s">
        <v>195</v>
      </c>
      <c r="F44" s="100" t="s">
        <v>346</v>
      </c>
      <c r="G44" s="324">
        <v>6.04</v>
      </c>
    </row>
    <row r="45" spans="1:7" s="143" customFormat="1">
      <c r="A45" s="102" t="s">
        <v>406</v>
      </c>
      <c r="B45" s="102" t="s">
        <v>403</v>
      </c>
      <c r="C45" s="102" t="s">
        <v>170</v>
      </c>
      <c r="D45" s="100" t="s">
        <v>195</v>
      </c>
      <c r="E45" s="102" t="s">
        <v>195</v>
      </c>
      <c r="F45" s="100" t="s">
        <v>347</v>
      </c>
      <c r="G45" s="324">
        <v>6.68</v>
      </c>
    </row>
    <row r="46" spans="1:7" s="143" customFormat="1">
      <c r="A46" s="102" t="s">
        <v>406</v>
      </c>
      <c r="B46" s="102" t="s">
        <v>403</v>
      </c>
      <c r="C46" s="102" t="s">
        <v>170</v>
      </c>
      <c r="D46" s="100" t="s">
        <v>195</v>
      </c>
      <c r="E46" s="102" t="s">
        <v>195</v>
      </c>
      <c r="F46" s="100" t="s">
        <v>348</v>
      </c>
      <c r="G46" s="324">
        <v>8.26</v>
      </c>
    </row>
    <row r="47" spans="1:7" s="143" customFormat="1">
      <c r="A47" s="102" t="s">
        <v>406</v>
      </c>
      <c r="B47" s="102" t="s">
        <v>403</v>
      </c>
      <c r="C47" s="100" t="s">
        <v>227</v>
      </c>
      <c r="D47" s="100" t="s">
        <v>195</v>
      </c>
      <c r="E47" s="100" t="s">
        <v>195</v>
      </c>
      <c r="F47" s="100" t="s">
        <v>6</v>
      </c>
      <c r="G47" s="324">
        <v>5.4640000000000001E-2</v>
      </c>
    </row>
    <row r="48" spans="1:7" s="143" customFormat="1">
      <c r="A48" s="102" t="s">
        <v>406</v>
      </c>
      <c r="B48" s="102" t="s">
        <v>403</v>
      </c>
      <c r="C48" s="100" t="s">
        <v>171</v>
      </c>
      <c r="D48" s="100" t="s">
        <v>195</v>
      </c>
      <c r="E48" s="100" t="s">
        <v>199</v>
      </c>
      <c r="F48" s="102" t="s">
        <v>335</v>
      </c>
      <c r="G48" s="324">
        <v>7.03</v>
      </c>
    </row>
    <row r="49" spans="1:12" s="143" customFormat="1">
      <c r="A49" s="102" t="s">
        <v>406</v>
      </c>
      <c r="B49" s="102" t="s">
        <v>403</v>
      </c>
      <c r="C49" s="100" t="s">
        <v>171</v>
      </c>
      <c r="D49" s="100" t="s">
        <v>195</v>
      </c>
      <c r="E49" s="100" t="s">
        <v>200</v>
      </c>
      <c r="F49" s="102" t="s">
        <v>335</v>
      </c>
      <c r="G49" s="324">
        <v>12.65</v>
      </c>
    </row>
    <row r="50" spans="1:12" s="143" customFormat="1">
      <c r="A50" s="150" t="s">
        <v>406</v>
      </c>
      <c r="B50" s="150" t="s">
        <v>403</v>
      </c>
      <c r="C50" s="152" t="s">
        <v>171</v>
      </c>
      <c r="D50" s="152" t="s">
        <v>195</v>
      </c>
      <c r="E50" s="152" t="s">
        <v>195</v>
      </c>
      <c r="F50" s="152" t="s">
        <v>6</v>
      </c>
      <c r="G50" s="325">
        <v>5.7200000000000001E-2</v>
      </c>
    </row>
    <row r="51" spans="1:12" s="143" customFormat="1">
      <c r="A51" s="145" t="s">
        <v>406</v>
      </c>
      <c r="B51" s="145" t="s">
        <v>29</v>
      </c>
      <c r="C51" s="145" t="s">
        <v>169</v>
      </c>
      <c r="D51" s="146" t="s">
        <v>4</v>
      </c>
      <c r="E51" s="75" t="s">
        <v>195</v>
      </c>
      <c r="F51" s="146" t="s">
        <v>337</v>
      </c>
      <c r="G51" s="268">
        <f>SUMIFS(G$32:G$50,C$32:C$50,C51,E$32:E$50,E51,F$32:F$50,F51)*H51</f>
        <v>98822.903941960874</v>
      </c>
      <c r="H51" s="143">
        <f t="shared" ref="H51:H81" si="0">SUMIFS(G$7:G$31,C$7:C$31,C51,D$7:D$31,D51,E$7:E$31,E51,F$7:F$31,F51)</f>
        <v>11358.954476087458</v>
      </c>
    </row>
    <row r="52" spans="1:12" s="140" customFormat="1">
      <c r="A52" s="102" t="s">
        <v>406</v>
      </c>
      <c r="B52" s="102" t="s">
        <v>29</v>
      </c>
      <c r="C52" s="102" t="s">
        <v>169</v>
      </c>
      <c r="D52" s="148" t="s">
        <v>4</v>
      </c>
      <c r="E52" s="64" t="s">
        <v>195</v>
      </c>
      <c r="F52" s="148" t="s">
        <v>338</v>
      </c>
      <c r="G52" s="141">
        <f>SUMIFS(G$32:G$50,C$32:C$50,C52,E$32:E$50,E52,F$32:F$50,F52)*H52</f>
        <v>5426.4959921535501</v>
      </c>
      <c r="H52" s="143">
        <f t="shared" si="0"/>
        <v>526.33326791014065</v>
      </c>
    </row>
    <row r="53" spans="1:12" s="140" customFormat="1">
      <c r="A53" s="102" t="s">
        <v>406</v>
      </c>
      <c r="B53" s="102" t="s">
        <v>29</v>
      </c>
      <c r="C53" s="102" t="s">
        <v>169</v>
      </c>
      <c r="D53" s="148" t="s">
        <v>4</v>
      </c>
      <c r="E53" s="64" t="s">
        <v>195</v>
      </c>
      <c r="F53" s="148" t="s">
        <v>339</v>
      </c>
      <c r="G53" s="141">
        <f>SUMIFS(G$32:G$50,C$32:C$50,C53,E$32:E$50,E53,F$32:F$50,F53)*H53</f>
        <v>307.68193969018023</v>
      </c>
      <c r="H53" s="143">
        <f t="shared" si="0"/>
        <v>24.000151301886131</v>
      </c>
    </row>
    <row r="54" spans="1:12" s="140" customFormat="1">
      <c r="A54" s="102" t="s">
        <v>406</v>
      </c>
      <c r="B54" s="102" t="s">
        <v>29</v>
      </c>
      <c r="C54" s="102" t="s">
        <v>169</v>
      </c>
      <c r="D54" s="148" t="s">
        <v>4</v>
      </c>
      <c r="E54" s="64" t="s">
        <v>195</v>
      </c>
      <c r="F54" s="90" t="s">
        <v>168</v>
      </c>
      <c r="G54" s="141">
        <f>Unbilled!E16</f>
        <v>3473.3244412401559</v>
      </c>
      <c r="H54" s="143">
        <f t="shared" si="0"/>
        <v>0</v>
      </c>
    </row>
    <row r="55" spans="1:12" s="140" customFormat="1">
      <c r="A55" s="102" t="s">
        <v>406</v>
      </c>
      <c r="B55" s="102" t="s">
        <v>29</v>
      </c>
      <c r="C55" s="102" t="s">
        <v>169</v>
      </c>
      <c r="D55" s="148" t="s">
        <v>5</v>
      </c>
      <c r="E55" s="64" t="s">
        <v>195</v>
      </c>
      <c r="F55" s="148" t="s">
        <v>337</v>
      </c>
      <c r="G55" s="141">
        <f>SUMIFS(G$32:G$50,C$32:C$50,C55,E$32:E$50,E55,F$32:F$50,F55)*H55</f>
        <v>115643.58217400184</v>
      </c>
      <c r="H55" s="143">
        <f t="shared" si="0"/>
        <v>13292.36576712665</v>
      </c>
    </row>
    <row r="56" spans="1:12" s="140" customFormat="1">
      <c r="A56" s="102" t="s">
        <v>406</v>
      </c>
      <c r="B56" s="102" t="s">
        <v>29</v>
      </c>
      <c r="C56" s="102" t="s">
        <v>169</v>
      </c>
      <c r="D56" s="148" t="s">
        <v>5</v>
      </c>
      <c r="E56" s="64" t="s">
        <v>195</v>
      </c>
      <c r="F56" s="148" t="s">
        <v>338</v>
      </c>
      <c r="G56" s="141">
        <f>SUMIFS(G$32:G$50,C$32:C$50,C56,E$32:E$50,E56,F$32:F$50,F56)*H56</f>
        <v>47085.774107382858</v>
      </c>
      <c r="H56" s="143">
        <f t="shared" si="0"/>
        <v>4567.0003983882498</v>
      </c>
    </row>
    <row r="57" spans="1:12" s="140" customFormat="1">
      <c r="A57" s="102" t="s">
        <v>406</v>
      </c>
      <c r="B57" s="102" t="s">
        <v>29</v>
      </c>
      <c r="C57" s="102" t="s">
        <v>169</v>
      </c>
      <c r="D57" s="148" t="s">
        <v>5</v>
      </c>
      <c r="E57" s="64" t="s">
        <v>195</v>
      </c>
      <c r="F57" s="148" t="s">
        <v>339</v>
      </c>
      <c r="G57" s="141">
        <f>SUMIFS(G$32:G$50,C$32:C$50,C57,E$32:E$50,E57,F$32:F$50,F57)*H57</f>
        <v>12218.933243923082</v>
      </c>
      <c r="H57" s="143">
        <f t="shared" si="0"/>
        <v>953.11491762270532</v>
      </c>
    </row>
    <row r="58" spans="1:12" s="140" customFormat="1">
      <c r="A58" s="102" t="s">
        <v>406</v>
      </c>
      <c r="B58" s="102" t="s">
        <v>29</v>
      </c>
      <c r="C58" s="102" t="s">
        <v>169</v>
      </c>
      <c r="D58" s="148" t="s">
        <v>5</v>
      </c>
      <c r="E58" s="64" t="s">
        <v>195</v>
      </c>
      <c r="F58" s="90" t="s">
        <v>168</v>
      </c>
      <c r="G58" s="141">
        <f>Unbilled!E17</f>
        <v>2499.8824946992781</v>
      </c>
      <c r="H58" s="143">
        <f t="shared" si="0"/>
        <v>0</v>
      </c>
    </row>
    <row r="59" spans="1:12" s="140" customFormat="1">
      <c r="A59" s="102" t="s">
        <v>406</v>
      </c>
      <c r="B59" s="102" t="s">
        <v>29</v>
      </c>
      <c r="C59" s="102" t="s">
        <v>169</v>
      </c>
      <c r="D59" s="148" t="s">
        <v>7</v>
      </c>
      <c r="E59" s="64" t="s">
        <v>195</v>
      </c>
      <c r="F59" s="148" t="s">
        <v>337</v>
      </c>
      <c r="G59" s="141">
        <f>SUMIFS(G$32:G$50,C$32:C$50,C59,E$32:E$50,E59,F$32:F$50,F59)*H59</f>
        <v>4817.8317829128846</v>
      </c>
      <c r="H59" s="143">
        <f t="shared" si="0"/>
        <v>553.77376815090633</v>
      </c>
    </row>
    <row r="60" spans="1:12" s="140" customFormat="1">
      <c r="A60" s="102" t="s">
        <v>406</v>
      </c>
      <c r="B60" s="102" t="s">
        <v>29</v>
      </c>
      <c r="C60" s="102" t="s">
        <v>169</v>
      </c>
      <c r="D60" s="148" t="s">
        <v>7</v>
      </c>
      <c r="E60" s="64" t="s">
        <v>195</v>
      </c>
      <c r="F60" s="148" t="s">
        <v>338</v>
      </c>
      <c r="G60" s="141">
        <f>SUMIFS(G$32:G$50,C$32:C$50,C60,E$32:E$50,E60,F$32:F$50,F60)*H60</f>
        <v>4453.9383190615454</v>
      </c>
      <c r="H60" s="143">
        <f t="shared" si="0"/>
        <v>432.00177682459218</v>
      </c>
    </row>
    <row r="61" spans="1:12" s="140" customFormat="1">
      <c r="A61" s="102" t="s">
        <v>406</v>
      </c>
      <c r="B61" s="102" t="s">
        <v>29</v>
      </c>
      <c r="C61" s="102" t="s">
        <v>169</v>
      </c>
      <c r="D61" s="148" t="s">
        <v>7</v>
      </c>
      <c r="E61" s="64" t="s">
        <v>195</v>
      </c>
      <c r="F61" s="148" t="s">
        <v>339</v>
      </c>
      <c r="G61" s="141">
        <f>SUMIFS(G$32:G$50,C$32:C$50,C61,E$32:E$50,E61,F$32:F$50,F61)*H61</f>
        <v>461.53218810409578</v>
      </c>
      <c r="H61" s="143">
        <f t="shared" si="0"/>
        <v>36.000950710147876</v>
      </c>
    </row>
    <row r="62" spans="1:12" s="140" customFormat="1">
      <c r="A62" s="102" t="s">
        <v>406</v>
      </c>
      <c r="B62" s="102" t="s">
        <v>29</v>
      </c>
      <c r="C62" s="102" t="s">
        <v>169</v>
      </c>
      <c r="D62" s="148" t="s">
        <v>7</v>
      </c>
      <c r="E62" s="64" t="s">
        <v>195</v>
      </c>
      <c r="F62" s="90" t="s">
        <v>168</v>
      </c>
      <c r="G62" s="141">
        <f>Unbilled!E18</f>
        <v>187.52091162770995</v>
      </c>
      <c r="H62" s="143">
        <f t="shared" si="0"/>
        <v>0</v>
      </c>
    </row>
    <row r="63" spans="1:12">
      <c r="A63" s="102" t="s">
        <v>406</v>
      </c>
      <c r="B63" s="102" t="s">
        <v>29</v>
      </c>
      <c r="C63" s="102" t="s">
        <v>170</v>
      </c>
      <c r="D63" s="215" t="s">
        <v>167</v>
      </c>
      <c r="E63" s="64" t="s">
        <v>195</v>
      </c>
      <c r="F63" s="100" t="s">
        <v>337</v>
      </c>
      <c r="G63" s="141">
        <f t="shared" ref="G63:G74" si="1">SUMIFS(G$32:G$50,C$32:C$50,C63,E$32:E$50,E63,F$32:F$50,F63)*H63</f>
        <v>3304.7195154634046</v>
      </c>
      <c r="H63" s="143">
        <f t="shared" si="0"/>
        <v>382.93389518695301</v>
      </c>
      <c r="L63" s="140"/>
    </row>
    <row r="64" spans="1:12">
      <c r="A64" s="102" t="s">
        <v>406</v>
      </c>
      <c r="B64" s="102" t="s">
        <v>29</v>
      </c>
      <c r="C64" s="102" t="s">
        <v>170</v>
      </c>
      <c r="D64" s="215" t="s">
        <v>167</v>
      </c>
      <c r="E64" s="64" t="s">
        <v>195</v>
      </c>
      <c r="F64" s="100" t="s">
        <v>338</v>
      </c>
      <c r="G64" s="141">
        <f t="shared" si="1"/>
        <v>33696.50431140454</v>
      </c>
      <c r="H64" s="143">
        <f t="shared" si="0"/>
        <v>3558.2369917005844</v>
      </c>
      <c r="L64" s="140"/>
    </row>
    <row r="65" spans="1:8">
      <c r="A65" s="102" t="s">
        <v>406</v>
      </c>
      <c r="B65" s="102" t="s">
        <v>29</v>
      </c>
      <c r="C65" s="102" t="s">
        <v>170</v>
      </c>
      <c r="D65" s="215" t="s">
        <v>167</v>
      </c>
      <c r="E65" s="64" t="s">
        <v>195</v>
      </c>
      <c r="F65" s="100" t="s">
        <v>339</v>
      </c>
      <c r="G65" s="141">
        <f t="shared" si="1"/>
        <v>6736.5322047397731</v>
      </c>
      <c r="H65" s="143">
        <f t="shared" si="0"/>
        <v>670.30171191440525</v>
      </c>
    </row>
    <row r="66" spans="1:8">
      <c r="A66" s="102" t="s">
        <v>406</v>
      </c>
      <c r="B66" s="102" t="s">
        <v>29</v>
      </c>
      <c r="C66" s="102" t="s">
        <v>170</v>
      </c>
      <c r="D66" s="215" t="s">
        <v>167</v>
      </c>
      <c r="E66" s="64" t="s">
        <v>195</v>
      </c>
      <c r="F66" s="100" t="s">
        <v>340</v>
      </c>
      <c r="G66" s="141">
        <f t="shared" si="1"/>
        <v>24870.002249044213</v>
      </c>
      <c r="H66" s="143">
        <f t="shared" si="0"/>
        <v>2337.4062264139297</v>
      </c>
    </row>
    <row r="67" spans="1:8">
      <c r="A67" s="102" t="s">
        <v>406</v>
      </c>
      <c r="B67" s="102" t="s">
        <v>29</v>
      </c>
      <c r="C67" s="102" t="s">
        <v>170</v>
      </c>
      <c r="D67" s="215" t="s">
        <v>167</v>
      </c>
      <c r="E67" s="64" t="s">
        <v>195</v>
      </c>
      <c r="F67" s="100" t="s">
        <v>341</v>
      </c>
      <c r="G67" s="141">
        <f t="shared" si="1"/>
        <v>33905.468260874513</v>
      </c>
      <c r="H67" s="143">
        <f t="shared" si="0"/>
        <v>2940.6303782198192</v>
      </c>
    </row>
    <row r="68" spans="1:8">
      <c r="A68" s="102" t="s">
        <v>406</v>
      </c>
      <c r="B68" s="102" t="s">
        <v>29</v>
      </c>
      <c r="C68" s="102" t="s">
        <v>170</v>
      </c>
      <c r="D68" s="215" t="s">
        <v>167</v>
      </c>
      <c r="E68" s="64" t="s">
        <v>195</v>
      </c>
      <c r="F68" s="100" t="s">
        <v>342</v>
      </c>
      <c r="G68" s="141">
        <f t="shared" si="1"/>
        <v>17370.75991073126</v>
      </c>
      <c r="H68" s="143">
        <f t="shared" si="0"/>
        <v>1226.7485812663319</v>
      </c>
    </row>
    <row r="69" spans="1:8">
      <c r="A69" s="102" t="s">
        <v>406</v>
      </c>
      <c r="B69" s="102" t="s">
        <v>29</v>
      </c>
      <c r="C69" s="102" t="s">
        <v>170</v>
      </c>
      <c r="D69" s="215" t="s">
        <v>167</v>
      </c>
      <c r="E69" s="64" t="s">
        <v>195</v>
      </c>
      <c r="F69" s="100" t="s">
        <v>343</v>
      </c>
      <c r="G69" s="141">
        <f t="shared" si="1"/>
        <v>116416.4409602548</v>
      </c>
      <c r="H69" s="143">
        <f t="shared" si="0"/>
        <v>26579.096109647213</v>
      </c>
    </row>
    <row r="70" spans="1:8">
      <c r="A70" s="102" t="s">
        <v>406</v>
      </c>
      <c r="B70" s="102" t="s">
        <v>29</v>
      </c>
      <c r="C70" s="102" t="s">
        <v>170</v>
      </c>
      <c r="D70" s="215" t="s">
        <v>167</v>
      </c>
      <c r="E70" s="64" t="s">
        <v>195</v>
      </c>
      <c r="F70" s="100" t="s">
        <v>344</v>
      </c>
      <c r="G70" s="141">
        <f t="shared" si="1"/>
        <v>101279.27080763338</v>
      </c>
      <c r="H70" s="143">
        <f t="shared" si="0"/>
        <v>20543.462638465189</v>
      </c>
    </row>
    <row r="71" spans="1:8">
      <c r="A71" s="102" t="s">
        <v>406</v>
      </c>
      <c r="B71" s="102" t="s">
        <v>29</v>
      </c>
      <c r="C71" s="102" t="s">
        <v>170</v>
      </c>
      <c r="D71" s="215" t="s">
        <v>167</v>
      </c>
      <c r="E71" s="64" t="s">
        <v>195</v>
      </c>
      <c r="F71" s="100" t="s">
        <v>345</v>
      </c>
      <c r="G71" s="141">
        <f t="shared" si="1"/>
        <v>5402.1437523551749</v>
      </c>
      <c r="H71" s="143">
        <f t="shared" si="0"/>
        <v>983.99704050185335</v>
      </c>
    </row>
    <row r="72" spans="1:8">
      <c r="A72" s="102" t="s">
        <v>406</v>
      </c>
      <c r="B72" s="102" t="s">
        <v>29</v>
      </c>
      <c r="C72" s="102" t="s">
        <v>170</v>
      </c>
      <c r="D72" s="215" t="s">
        <v>167</v>
      </c>
      <c r="E72" s="64" t="s">
        <v>195</v>
      </c>
      <c r="F72" s="100" t="s">
        <v>346</v>
      </c>
      <c r="G72" s="141">
        <f t="shared" si="1"/>
        <v>112698.0520850193</v>
      </c>
      <c r="H72" s="143">
        <f t="shared" si="0"/>
        <v>18658.617894870746</v>
      </c>
    </row>
    <row r="73" spans="1:8">
      <c r="A73" s="102" t="s">
        <v>406</v>
      </c>
      <c r="B73" s="102" t="s">
        <v>29</v>
      </c>
      <c r="C73" s="102" t="s">
        <v>170</v>
      </c>
      <c r="D73" s="215" t="s">
        <v>167</v>
      </c>
      <c r="E73" s="64" t="s">
        <v>195</v>
      </c>
      <c r="F73" s="100" t="s">
        <v>347</v>
      </c>
      <c r="G73" s="141">
        <f t="shared" si="1"/>
        <v>16299.439029294097</v>
      </c>
      <c r="H73" s="143">
        <f t="shared" si="0"/>
        <v>2440.0357828284577</v>
      </c>
    </row>
    <row r="74" spans="1:8">
      <c r="A74" s="102" t="s">
        <v>406</v>
      </c>
      <c r="B74" s="102" t="s">
        <v>29</v>
      </c>
      <c r="C74" s="102" t="s">
        <v>170</v>
      </c>
      <c r="D74" s="215" t="s">
        <v>167</v>
      </c>
      <c r="E74" s="64" t="s">
        <v>195</v>
      </c>
      <c r="F74" s="100" t="s">
        <v>348</v>
      </c>
      <c r="G74" s="141">
        <f t="shared" si="1"/>
        <v>25572.939965939528</v>
      </c>
      <c r="H74" s="143">
        <f t="shared" si="0"/>
        <v>3095.9975745689503</v>
      </c>
    </row>
    <row r="75" spans="1:8">
      <c r="A75" s="102" t="s">
        <v>406</v>
      </c>
      <c r="B75" s="102" t="s">
        <v>29</v>
      </c>
      <c r="C75" s="102" t="s">
        <v>170</v>
      </c>
      <c r="D75" s="215" t="s">
        <v>167</v>
      </c>
      <c r="E75" s="64" t="s">
        <v>195</v>
      </c>
      <c r="F75" s="90" t="s">
        <v>168</v>
      </c>
      <c r="G75" s="141">
        <f>Unbilled!E19</f>
        <v>-33281.311721933365</v>
      </c>
      <c r="H75" s="143">
        <f t="shared" si="0"/>
        <v>0</v>
      </c>
    </row>
    <row r="76" spans="1:8">
      <c r="A76" s="102" t="s">
        <v>406</v>
      </c>
      <c r="B76" s="102" t="s">
        <v>29</v>
      </c>
      <c r="C76" s="100" t="s">
        <v>227</v>
      </c>
      <c r="D76" s="102" t="s">
        <v>167</v>
      </c>
      <c r="E76" s="102" t="s">
        <v>195</v>
      </c>
      <c r="F76" s="100" t="s">
        <v>6</v>
      </c>
      <c r="G76" s="141">
        <f>SUMIFS(G$32:G$50,C$32:C$50,C76,E$32:E$50,E76,F$32:F$50,F76)*H76</f>
        <v>115393.61578728679</v>
      </c>
      <c r="H76" s="143">
        <f t="shared" si="0"/>
        <v>2111889.0151406806</v>
      </c>
    </row>
    <row r="77" spans="1:8">
      <c r="A77" s="102" t="s">
        <v>406</v>
      </c>
      <c r="B77" s="102" t="s">
        <v>29</v>
      </c>
      <c r="C77" s="100" t="s">
        <v>227</v>
      </c>
      <c r="D77" s="102" t="s">
        <v>167</v>
      </c>
      <c r="E77" s="102" t="s">
        <v>195</v>
      </c>
      <c r="F77" s="90" t="s">
        <v>168</v>
      </c>
      <c r="G77" s="141">
        <f>Unbilled!E20</f>
        <v>-7718.6882780666365</v>
      </c>
      <c r="H77" s="143">
        <f t="shared" si="0"/>
        <v>0</v>
      </c>
    </row>
    <row r="78" spans="1:8">
      <c r="A78" s="102" t="s">
        <v>406</v>
      </c>
      <c r="B78" s="102" t="s">
        <v>29</v>
      </c>
      <c r="C78" s="100" t="s">
        <v>171</v>
      </c>
      <c r="D78" s="102" t="s">
        <v>5</v>
      </c>
      <c r="E78" s="100" t="s">
        <v>199</v>
      </c>
      <c r="F78" s="102" t="s">
        <v>335</v>
      </c>
      <c r="G78" s="141">
        <f>SUMIFS(G$32:G$50,C$32:C$50,C78,E$32:E$50,E78,F$32:F$50,F78)*H78</f>
        <v>976.47</v>
      </c>
      <c r="H78" s="143">
        <f t="shared" si="0"/>
        <v>138.90042674253201</v>
      </c>
    </row>
    <row r="79" spans="1:8">
      <c r="A79" s="102" t="s">
        <v>406</v>
      </c>
      <c r="B79" s="102" t="s">
        <v>29</v>
      </c>
      <c r="C79" s="100" t="s">
        <v>171</v>
      </c>
      <c r="D79" s="102" t="s">
        <v>5</v>
      </c>
      <c r="E79" s="100" t="s">
        <v>200</v>
      </c>
      <c r="F79" s="102" t="s">
        <v>335</v>
      </c>
      <c r="G79" s="141">
        <f>SUMIFS(G$32:G$50,C$32:C$50,C79,E$32:E$50,E79,F$32:F$50,F79)*H79</f>
        <v>2125.2000000000003</v>
      </c>
      <c r="H79" s="143">
        <f t="shared" si="0"/>
        <v>168</v>
      </c>
    </row>
    <row r="80" spans="1:8">
      <c r="A80" s="102" t="s">
        <v>406</v>
      </c>
      <c r="B80" s="102" t="s">
        <v>29</v>
      </c>
      <c r="C80" s="100" t="s">
        <v>171</v>
      </c>
      <c r="D80" s="102" t="s">
        <v>5</v>
      </c>
      <c r="E80" s="102" t="s">
        <v>195</v>
      </c>
      <c r="F80" s="100" t="s">
        <v>6</v>
      </c>
      <c r="G80" s="141">
        <f>SUMIFS(G$32:G$50,C$32:C$50,C80,E$32:E$50,E80,F$32:F$50,F80)*H80</f>
        <v>17870.111458159325</v>
      </c>
      <c r="H80" s="143">
        <f t="shared" si="0"/>
        <v>312414.5359818064</v>
      </c>
    </row>
    <row r="81" spans="1:12">
      <c r="A81" s="150" t="s">
        <v>406</v>
      </c>
      <c r="B81" s="150" t="s">
        <v>29</v>
      </c>
      <c r="C81" s="150" t="s">
        <v>171</v>
      </c>
      <c r="D81" s="150" t="s">
        <v>5</v>
      </c>
      <c r="E81" s="150" t="s">
        <v>195</v>
      </c>
      <c r="F81" s="265" t="s">
        <v>168</v>
      </c>
      <c r="G81" s="142">
        <f>Unbilled!E21</f>
        <v>299.67134569970966</v>
      </c>
      <c r="H81" s="143">
        <f t="shared" si="0"/>
        <v>0</v>
      </c>
    </row>
    <row r="82" spans="1:12">
      <c r="A82" s="233" t="s">
        <v>532</v>
      </c>
      <c r="B82" s="230" t="s">
        <v>29</v>
      </c>
      <c r="C82" s="233" t="s">
        <v>195</v>
      </c>
      <c r="D82" s="233" t="s">
        <v>195</v>
      </c>
      <c r="E82" s="233" t="s">
        <v>195</v>
      </c>
      <c r="F82" s="233" t="s">
        <v>195</v>
      </c>
      <c r="G82" s="235">
        <f ca="1">'Cost of Service and Proposed $'!R128</f>
        <v>1004464.787268914</v>
      </c>
    </row>
    <row r="83" spans="1:12">
      <c r="A83" s="219" t="s">
        <v>505</v>
      </c>
      <c r="B83" s="219" t="s">
        <v>403</v>
      </c>
      <c r="C83" s="145" t="s">
        <v>169</v>
      </c>
      <c r="D83" s="75" t="s">
        <v>195</v>
      </c>
      <c r="E83" s="75" t="s">
        <v>195</v>
      </c>
      <c r="F83" s="146" t="s">
        <v>337</v>
      </c>
      <c r="G83" s="323">
        <f ca="1">ROUND(H83/100*K83/L83,I83)</f>
        <v>9.4600000000000009</v>
      </c>
      <c r="H83" s="236">
        <f>100+Summary!$Q$19</f>
        <v>96.65</v>
      </c>
      <c r="I83" s="140">
        <v>2</v>
      </c>
      <c r="J83" s="311">
        <f ca="1">K83/L83</f>
        <v>9.7917738800499396</v>
      </c>
      <c r="K83" s="140">
        <f ca="1">SUMIFS(G$51:G$81,C$51:C$81,C83,E$51:E$81,E83,F$51:F$81,F83)/SUMIFS(G$51:G$81,F$51:F$81,"&lt;&gt;Unbilled")*(G$82-SUMIFS(G$51:G$81,F$51:F$81,"Unbilled"))</f>
        <v>246802.58118468712</v>
      </c>
      <c r="L83" s="143">
        <f t="shared" ref="L83:L101" si="2">SUMIFS(G$7:G$31,C$7:C$31,C83,E$7:E$31,E83,F$7:F$31,F83)</f>
        <v>25205.094011365014</v>
      </c>
    </row>
    <row r="84" spans="1:12">
      <c r="A84" s="215" t="s">
        <v>505</v>
      </c>
      <c r="B84" s="215" t="s">
        <v>403</v>
      </c>
      <c r="C84" s="102" t="s">
        <v>169</v>
      </c>
      <c r="D84" s="64" t="s">
        <v>195</v>
      </c>
      <c r="E84" s="64" t="s">
        <v>195</v>
      </c>
      <c r="F84" s="148" t="s">
        <v>338</v>
      </c>
      <c r="G84" s="324">
        <f t="shared" ref="G84:G101" ca="1" si="3">ROUND(H84/100*K84/L84,I84)</f>
        <v>11.22</v>
      </c>
      <c r="H84" s="236">
        <f>100+Summary!$Q$19</f>
        <v>96.65</v>
      </c>
      <c r="I84" s="140">
        <v>2</v>
      </c>
      <c r="J84" s="311">
        <f t="shared" ref="J84:J101" ca="1" si="4">K84/L84</f>
        <v>11.603814793484469</v>
      </c>
      <c r="K84" s="140">
        <f t="shared" ref="K84:K101" ca="1" si="5">SUMIFS(G$51:G$81,C$51:C$81,C84,E$51:E$81,E84,F$51:F$81,F84)/SUMIFS(G$51:G$81,F$51:F$81,"&lt;&gt;Unbilled")*(G$82-SUMIFS(G$51:G$81,F$51:F$81,"Unbilled"))</f>
        <v>64114.969153874532</v>
      </c>
      <c r="L84" s="143">
        <f t="shared" si="2"/>
        <v>5525.3354431229827</v>
      </c>
    </row>
    <row r="85" spans="1:12">
      <c r="A85" s="215" t="s">
        <v>505</v>
      </c>
      <c r="B85" s="215" t="s">
        <v>403</v>
      </c>
      <c r="C85" s="102" t="s">
        <v>169</v>
      </c>
      <c r="D85" s="64" t="s">
        <v>195</v>
      </c>
      <c r="E85" s="64" t="s">
        <v>195</v>
      </c>
      <c r="F85" s="148" t="s">
        <v>339</v>
      </c>
      <c r="G85" s="324">
        <f t="shared" ca="1" si="3"/>
        <v>13.95</v>
      </c>
      <c r="H85" s="236">
        <f>100+Summary!$Q$19</f>
        <v>96.65</v>
      </c>
      <c r="I85" s="140">
        <v>2</v>
      </c>
      <c r="J85" s="311">
        <f t="shared" ca="1" si="4"/>
        <v>14.428797832441408</v>
      </c>
      <c r="K85" s="140">
        <f t="shared" ca="1" si="5"/>
        <v>14618.046228117393</v>
      </c>
      <c r="L85" s="143">
        <f t="shared" si="2"/>
        <v>1013.1160196347394</v>
      </c>
    </row>
    <row r="86" spans="1:12">
      <c r="A86" s="215" t="s">
        <v>505</v>
      </c>
      <c r="B86" s="215" t="s">
        <v>403</v>
      </c>
      <c r="C86" s="102" t="s">
        <v>170</v>
      </c>
      <c r="D86" s="64" t="s">
        <v>195</v>
      </c>
      <c r="E86" s="64" t="s">
        <v>195</v>
      </c>
      <c r="F86" s="100" t="s">
        <v>337</v>
      </c>
      <c r="G86" s="324">
        <f t="shared" ca="1" si="3"/>
        <v>9.39</v>
      </c>
      <c r="H86" s="236">
        <f>100+Summary!$Q$19</f>
        <v>96.65</v>
      </c>
      <c r="I86" s="140">
        <v>2</v>
      </c>
      <c r="J86" s="311">
        <f t="shared" ca="1" si="4"/>
        <v>9.7129894925093101</v>
      </c>
      <c r="K86" s="140">
        <f t="shared" ca="1" si="5"/>
        <v>3719.4329002765357</v>
      </c>
      <c r="L86" s="143">
        <f t="shared" si="2"/>
        <v>382.93389518695301</v>
      </c>
    </row>
    <row r="87" spans="1:12">
      <c r="A87" s="215" t="s">
        <v>505</v>
      </c>
      <c r="B87" s="215" t="s">
        <v>403</v>
      </c>
      <c r="C87" s="102" t="s">
        <v>170</v>
      </c>
      <c r="D87" s="64" t="s">
        <v>195</v>
      </c>
      <c r="E87" s="64" t="s">
        <v>195</v>
      </c>
      <c r="F87" s="100" t="s">
        <v>338</v>
      </c>
      <c r="G87" s="324">
        <f t="shared" ca="1" si="3"/>
        <v>10.3</v>
      </c>
      <c r="H87" s="236">
        <f>100+Summary!$Q$19</f>
        <v>96.65</v>
      </c>
      <c r="I87" s="140">
        <v>2</v>
      </c>
      <c r="J87" s="311">
        <f t="shared" ca="1" si="4"/>
        <v>10.658402142996891</v>
      </c>
      <c r="K87" s="140">
        <f t="shared" ca="1" si="5"/>
        <v>37925.120777632321</v>
      </c>
      <c r="L87" s="143">
        <f t="shared" si="2"/>
        <v>3558.2369917005844</v>
      </c>
    </row>
    <row r="88" spans="1:12">
      <c r="A88" s="215" t="s">
        <v>505</v>
      </c>
      <c r="B88" s="215" t="s">
        <v>403</v>
      </c>
      <c r="C88" s="102" t="s">
        <v>170</v>
      </c>
      <c r="D88" s="64" t="s">
        <v>195</v>
      </c>
      <c r="E88" s="64" t="s">
        <v>195</v>
      </c>
      <c r="F88" s="100" t="s">
        <v>339</v>
      </c>
      <c r="G88" s="324">
        <f t="shared" ca="1" si="3"/>
        <v>10.93</v>
      </c>
      <c r="H88" s="236">
        <f>100+Summary!$Q$19</f>
        <v>96.65</v>
      </c>
      <c r="I88" s="140">
        <v>2</v>
      </c>
      <c r="J88" s="311">
        <f t="shared" ca="1" si="4"/>
        <v>11.311187068333552</v>
      </c>
      <c r="K88" s="140">
        <f t="shared" ca="1" si="5"/>
        <v>7581.9080556880626</v>
      </c>
      <c r="L88" s="143">
        <f t="shared" si="2"/>
        <v>670.30171191440525</v>
      </c>
    </row>
    <row r="89" spans="1:12">
      <c r="A89" s="215" t="s">
        <v>505</v>
      </c>
      <c r="B89" s="215" t="s">
        <v>403</v>
      </c>
      <c r="C89" s="102" t="s">
        <v>170</v>
      </c>
      <c r="D89" s="64" t="s">
        <v>195</v>
      </c>
      <c r="E89" s="64" t="s">
        <v>195</v>
      </c>
      <c r="F89" s="100" t="s">
        <v>340</v>
      </c>
      <c r="G89" s="324">
        <f t="shared" ca="1" si="3"/>
        <v>11.57</v>
      </c>
      <c r="H89" s="236">
        <f>100+Summary!$Q$19</f>
        <v>96.65</v>
      </c>
      <c r="I89" s="140">
        <v>2</v>
      </c>
      <c r="J89" s="311">
        <f t="shared" ca="1" si="4"/>
        <v>11.975226906176019</v>
      </c>
      <c r="K89" s="140">
        <f t="shared" ca="1" si="5"/>
        <v>27990.969933215449</v>
      </c>
      <c r="L89" s="143">
        <f t="shared" si="2"/>
        <v>2337.4062264139297</v>
      </c>
    </row>
    <row r="90" spans="1:12">
      <c r="A90" s="215" t="s">
        <v>505</v>
      </c>
      <c r="B90" s="215" t="s">
        <v>403</v>
      </c>
      <c r="C90" s="102" t="s">
        <v>170</v>
      </c>
      <c r="D90" s="64" t="s">
        <v>195</v>
      </c>
      <c r="E90" s="64" t="s">
        <v>195</v>
      </c>
      <c r="F90" s="100" t="s">
        <v>341</v>
      </c>
      <c r="G90" s="324">
        <f t="shared" ca="1" si="3"/>
        <v>12.54</v>
      </c>
      <c r="H90" s="236">
        <f>100+Summary!$Q$19</f>
        <v>96.65</v>
      </c>
      <c r="I90" s="140">
        <v>2</v>
      </c>
      <c r="J90" s="311">
        <f t="shared" ca="1" si="4"/>
        <v>12.976914119192619</v>
      </c>
      <c r="K90" s="140">
        <f t="shared" ca="1" si="5"/>
        <v>38160.307874447506</v>
      </c>
      <c r="L90" s="143">
        <f t="shared" si="2"/>
        <v>2940.6303782198192</v>
      </c>
    </row>
    <row r="91" spans="1:12">
      <c r="A91" s="215" t="s">
        <v>505</v>
      </c>
      <c r="B91" s="215" t="s">
        <v>403</v>
      </c>
      <c r="C91" s="102" t="s">
        <v>170</v>
      </c>
      <c r="D91" s="64" t="s">
        <v>195</v>
      </c>
      <c r="E91" s="64" t="s">
        <v>195</v>
      </c>
      <c r="F91" s="100" t="s">
        <v>342</v>
      </c>
      <c r="G91" s="324">
        <f t="shared" ca="1" si="3"/>
        <v>15.4</v>
      </c>
      <c r="H91" s="236">
        <f>100+Summary!$Q$19</f>
        <v>96.65</v>
      </c>
      <c r="I91" s="140">
        <v>2</v>
      </c>
      <c r="J91" s="311">
        <f t="shared" ca="1" si="4"/>
        <v>15.936956108219213</v>
      </c>
      <c r="K91" s="140">
        <f t="shared" ca="1" si="5"/>
        <v>19550.638295461722</v>
      </c>
      <c r="L91" s="143">
        <f t="shared" si="2"/>
        <v>1226.7485812663319</v>
      </c>
    </row>
    <row r="92" spans="1:12">
      <c r="A92" s="215" t="s">
        <v>505</v>
      </c>
      <c r="B92" s="215" t="s">
        <v>403</v>
      </c>
      <c r="C92" s="102" t="s">
        <v>170</v>
      </c>
      <c r="D92" s="64" t="s">
        <v>195</v>
      </c>
      <c r="E92" s="64" t="s">
        <v>195</v>
      </c>
      <c r="F92" s="100" t="s">
        <v>343</v>
      </c>
      <c r="G92" s="324">
        <f t="shared" ca="1" si="3"/>
        <v>4.76</v>
      </c>
      <c r="H92" s="236">
        <f>100+Summary!$Q$19</f>
        <v>96.65</v>
      </c>
      <c r="I92" s="140">
        <v>2</v>
      </c>
      <c r="J92" s="311">
        <f t="shared" ca="1" si="4"/>
        <v>4.9296516775423838</v>
      </c>
      <c r="K92" s="140">
        <f t="shared" ca="1" si="5"/>
        <v>131025.68572448262</v>
      </c>
      <c r="L92" s="143">
        <f t="shared" si="2"/>
        <v>26579.096109647213</v>
      </c>
    </row>
    <row r="93" spans="1:12">
      <c r="A93" s="215" t="s">
        <v>505</v>
      </c>
      <c r="B93" s="215" t="s">
        <v>403</v>
      </c>
      <c r="C93" s="102" t="s">
        <v>170</v>
      </c>
      <c r="D93" s="64" t="s">
        <v>195</v>
      </c>
      <c r="E93" s="64" t="s">
        <v>195</v>
      </c>
      <c r="F93" s="100" t="s">
        <v>344</v>
      </c>
      <c r="G93" s="324">
        <f t="shared" ca="1" si="3"/>
        <v>5.36</v>
      </c>
      <c r="H93" s="236">
        <f>100+Summary!$Q$19</f>
        <v>96.65</v>
      </c>
      <c r="I93" s="140">
        <v>2</v>
      </c>
      <c r="J93" s="311">
        <f t="shared" ca="1" si="4"/>
        <v>5.5486718653616327</v>
      </c>
      <c r="K93" s="140">
        <f t="shared" ca="1" si="5"/>
        <v>113988.93315915966</v>
      </c>
      <c r="L93" s="143">
        <f t="shared" si="2"/>
        <v>20543.462638465189</v>
      </c>
    </row>
    <row r="94" spans="1:12">
      <c r="A94" s="215" t="s">
        <v>505</v>
      </c>
      <c r="B94" s="215" t="s">
        <v>403</v>
      </c>
      <c r="C94" s="102" t="s">
        <v>170</v>
      </c>
      <c r="D94" s="64" t="s">
        <v>195</v>
      </c>
      <c r="E94" s="64" t="s">
        <v>195</v>
      </c>
      <c r="F94" s="100" t="s">
        <v>345</v>
      </c>
      <c r="G94" s="324">
        <f t="shared" ca="1" si="3"/>
        <v>5.97</v>
      </c>
      <c r="H94" s="236">
        <f>100+Summary!$Q$19</f>
        <v>96.65</v>
      </c>
      <c r="I94" s="140">
        <v>2</v>
      </c>
      <c r="J94" s="311">
        <f t="shared" ca="1" si="4"/>
        <v>6.1789469656866869</v>
      </c>
      <c r="K94" s="140">
        <f t="shared" ca="1" si="5"/>
        <v>6080.0655276536063</v>
      </c>
      <c r="L94" s="143">
        <f t="shared" si="2"/>
        <v>983.99704050185335</v>
      </c>
    </row>
    <row r="95" spans="1:12">
      <c r="A95" s="215" t="s">
        <v>505</v>
      </c>
      <c r="B95" s="215" t="s">
        <v>403</v>
      </c>
      <c r="C95" s="102" t="s">
        <v>170</v>
      </c>
      <c r="D95" s="64" t="s">
        <v>195</v>
      </c>
      <c r="E95" s="64" t="s">
        <v>195</v>
      </c>
      <c r="F95" s="100" t="s">
        <v>346</v>
      </c>
      <c r="G95" s="324">
        <f t="shared" ca="1" si="3"/>
        <v>6.57</v>
      </c>
      <c r="H95" s="236">
        <f>100+Summary!$Q$19</f>
        <v>96.65</v>
      </c>
      <c r="I95" s="140">
        <v>2</v>
      </c>
      <c r="J95" s="311">
        <f t="shared" ca="1" si="4"/>
        <v>6.7979671535059358</v>
      </c>
      <c r="K95" s="140">
        <f t="shared" ca="1" si="5"/>
        <v>126840.67157914939</v>
      </c>
      <c r="L95" s="143">
        <f t="shared" si="2"/>
        <v>18658.617894870746</v>
      </c>
    </row>
    <row r="96" spans="1:12">
      <c r="A96" s="215" t="s">
        <v>505</v>
      </c>
      <c r="B96" s="215" t="s">
        <v>403</v>
      </c>
      <c r="C96" s="102" t="s">
        <v>170</v>
      </c>
      <c r="D96" s="64" t="s">
        <v>195</v>
      </c>
      <c r="E96" s="64" t="s">
        <v>195</v>
      </c>
      <c r="F96" s="100" t="s">
        <v>347</v>
      </c>
      <c r="G96" s="324">
        <f t="shared" ca="1" si="3"/>
        <v>7.27</v>
      </c>
      <c r="H96" s="236">
        <f>100+Summary!$Q$19</f>
        <v>96.65</v>
      </c>
      <c r="I96" s="140">
        <v>2</v>
      </c>
      <c r="J96" s="311">
        <f t="shared" ca="1" si="4"/>
        <v>7.5182815538774257</v>
      </c>
      <c r="K96" s="140">
        <f t="shared" ca="1" si="5"/>
        <v>18344.876016840059</v>
      </c>
      <c r="L96" s="143">
        <f t="shared" si="2"/>
        <v>2440.0357828284577</v>
      </c>
    </row>
    <row r="97" spans="1:12">
      <c r="A97" s="215" t="s">
        <v>505</v>
      </c>
      <c r="B97" s="215" t="s">
        <v>403</v>
      </c>
      <c r="C97" s="102" t="s">
        <v>170</v>
      </c>
      <c r="D97" s="64" t="s">
        <v>195</v>
      </c>
      <c r="E97" s="64" t="s">
        <v>195</v>
      </c>
      <c r="F97" s="100" t="s">
        <v>348</v>
      </c>
      <c r="G97" s="324">
        <f t="shared" ca="1" si="3"/>
        <v>8.99</v>
      </c>
      <c r="H97" s="236">
        <f>100+Summary!$Q$19</f>
        <v>96.65</v>
      </c>
      <c r="I97" s="140">
        <v>2</v>
      </c>
      <c r="J97" s="311">
        <f t="shared" ca="1" si="4"/>
        <v>9.2965577297945394</v>
      </c>
      <c r="K97" s="140">
        <f t="shared" ca="1" si="5"/>
        <v>28782.120183284122</v>
      </c>
      <c r="L97" s="143">
        <f t="shared" si="2"/>
        <v>3095.9975745689503</v>
      </c>
    </row>
    <row r="98" spans="1:12">
      <c r="A98" s="215" t="s">
        <v>505</v>
      </c>
      <c r="B98" s="215" t="s">
        <v>403</v>
      </c>
      <c r="C98" s="100" t="s">
        <v>227</v>
      </c>
      <c r="D98" s="102" t="s">
        <v>195</v>
      </c>
      <c r="E98" s="102" t="s">
        <v>195</v>
      </c>
      <c r="F98" s="100" t="s">
        <v>6</v>
      </c>
      <c r="G98" s="324">
        <f t="shared" ca="1" si="3"/>
        <v>5.944E-2</v>
      </c>
      <c r="H98" s="236">
        <f>100+Summary!$Q$19</f>
        <v>96.65</v>
      </c>
      <c r="I98" s="140">
        <v>5</v>
      </c>
      <c r="J98" s="311">
        <f t="shared" ca="1" si="4"/>
        <v>6.1496841931715951E-2</v>
      </c>
      <c r="K98" s="140">
        <f t="shared" ca="1" si="5"/>
        <v>129874.50494143371</v>
      </c>
      <c r="L98" s="143">
        <f t="shared" si="2"/>
        <v>2111889.0151406806</v>
      </c>
    </row>
    <row r="99" spans="1:12">
      <c r="A99" s="215" t="s">
        <v>505</v>
      </c>
      <c r="B99" s="215" t="s">
        <v>403</v>
      </c>
      <c r="C99" s="100" t="s">
        <v>171</v>
      </c>
      <c r="D99" s="102" t="s">
        <v>195</v>
      </c>
      <c r="E99" s="100" t="s">
        <v>199</v>
      </c>
      <c r="F99" s="102" t="s">
        <v>335</v>
      </c>
      <c r="G99" s="324">
        <f t="shared" ca="1" si="3"/>
        <v>7.65</v>
      </c>
      <c r="H99" s="236">
        <f>100+Summary!$Q$19</f>
        <v>96.65</v>
      </c>
      <c r="I99" s="140">
        <v>2</v>
      </c>
      <c r="J99" s="311">
        <f t="shared" ca="1" si="4"/>
        <v>7.9122034915805841</v>
      </c>
      <c r="K99" s="140">
        <f t="shared" ca="1" si="5"/>
        <v>1099.0084414542948</v>
      </c>
      <c r="L99" s="143">
        <f t="shared" si="2"/>
        <v>138.90042674253201</v>
      </c>
    </row>
    <row r="100" spans="1:12">
      <c r="A100" s="215" t="s">
        <v>505</v>
      </c>
      <c r="B100" s="215" t="s">
        <v>403</v>
      </c>
      <c r="C100" s="100" t="s">
        <v>171</v>
      </c>
      <c r="D100" s="102" t="s">
        <v>195</v>
      </c>
      <c r="E100" s="100" t="s">
        <v>200</v>
      </c>
      <c r="F100" s="102" t="s">
        <v>335</v>
      </c>
      <c r="G100" s="324">
        <f t="shared" ca="1" si="3"/>
        <v>13.76</v>
      </c>
      <c r="H100" s="236">
        <f>100+Summary!$Q$19</f>
        <v>96.65</v>
      </c>
      <c r="I100" s="140">
        <v>2</v>
      </c>
      <c r="J100" s="311">
        <f t="shared" ca="1" si="4"/>
        <v>14.237464319842733</v>
      </c>
      <c r="K100" s="140">
        <f t="shared" ca="1" si="5"/>
        <v>2391.894005733579</v>
      </c>
      <c r="L100" s="143">
        <f t="shared" si="2"/>
        <v>168</v>
      </c>
    </row>
    <row r="101" spans="1:12">
      <c r="A101" s="216" t="s">
        <v>505</v>
      </c>
      <c r="B101" s="216" t="s">
        <v>403</v>
      </c>
      <c r="C101" s="152" t="s">
        <v>171</v>
      </c>
      <c r="D101" s="150" t="s">
        <v>195</v>
      </c>
      <c r="E101" s="150" t="s">
        <v>195</v>
      </c>
      <c r="F101" s="152" t="s">
        <v>6</v>
      </c>
      <c r="G101" s="325">
        <f t="shared" ca="1" si="3"/>
        <v>6.2219999999999998E-2</v>
      </c>
      <c r="H101" s="236">
        <f>100+Summary!$Q$19</f>
        <v>96.65</v>
      </c>
      <c r="I101" s="140">
        <v>5</v>
      </c>
      <c r="J101" s="311">
        <f t="shared" ca="1" si="4"/>
        <v>6.4378099533201893E-2</v>
      </c>
      <c r="K101" s="140">
        <f t="shared" ca="1" si="5"/>
        <v>20112.654093055819</v>
      </c>
      <c r="L101" s="143">
        <f t="shared" si="2"/>
        <v>312414.5359818064</v>
      </c>
    </row>
    <row r="102" spans="1:12">
      <c r="A102" s="219" t="s">
        <v>505</v>
      </c>
      <c r="B102" s="219" t="s">
        <v>29</v>
      </c>
      <c r="C102" s="145" t="s">
        <v>169</v>
      </c>
      <c r="D102" s="146" t="s">
        <v>4</v>
      </c>
      <c r="E102" s="75" t="s">
        <v>195</v>
      </c>
      <c r="F102" s="146" t="s">
        <v>337</v>
      </c>
      <c r="G102" s="220">
        <f t="shared" ref="G102:G132" ca="1" si="6">IF(F102="Unbilled",SUMIFS(G$51:G$81,C$51:C$81,C102,D$51:D$81,D102,F$51:F$81,F102),SUMIFS(G$83:G$101,C$83:C$101,C102,E$83:E$101,E102,F$83:F$101,F102)*I102)</f>
        <v>107455.70934378736</v>
      </c>
      <c r="H102" s="140">
        <f t="shared" ref="H102:H132" ca="1" si="7">IF(F102="Unbilled",SUMIFS(G$51:G$81,C$51:C$81,C102,D$51:D$81,D102,F$51:F$81,F102),SUMIFS(J$83:J$101,C$83:C$101,C102,E$83:E$101,E102,F$83:F$101,F102)*I102)</f>
        <v>111224.31374362952</v>
      </c>
      <c r="I102" s="140">
        <f t="shared" ref="I102:I132" si="8">SUMIFS(G$7:G$31,C$7:C$31,C102,D$7:D$31,D102,E$7:E$31,E102,F$7:F$31,F102)</f>
        <v>11358.954476087458</v>
      </c>
    </row>
    <row r="103" spans="1:12">
      <c r="A103" s="215" t="s">
        <v>505</v>
      </c>
      <c r="B103" s="215" t="s">
        <v>29</v>
      </c>
      <c r="C103" s="102" t="s">
        <v>169</v>
      </c>
      <c r="D103" s="148" t="s">
        <v>4</v>
      </c>
      <c r="E103" s="64" t="s">
        <v>195</v>
      </c>
      <c r="F103" s="148" t="s">
        <v>338</v>
      </c>
      <c r="G103" s="217">
        <f t="shared" ca="1" si="6"/>
        <v>5905.4592659517784</v>
      </c>
      <c r="H103" s="140">
        <f t="shared" ca="1" si="7"/>
        <v>6107.4737604787142</v>
      </c>
      <c r="I103" s="140">
        <f t="shared" si="8"/>
        <v>526.33326791014065</v>
      </c>
    </row>
    <row r="104" spans="1:12">
      <c r="A104" s="215" t="s">
        <v>505</v>
      </c>
      <c r="B104" s="215" t="s">
        <v>29</v>
      </c>
      <c r="C104" s="102" t="s">
        <v>169</v>
      </c>
      <c r="D104" s="148" t="s">
        <v>4</v>
      </c>
      <c r="E104" s="64" t="s">
        <v>195</v>
      </c>
      <c r="F104" s="148" t="s">
        <v>339</v>
      </c>
      <c r="G104" s="217">
        <f t="shared" ca="1" si="6"/>
        <v>334.80211066131153</v>
      </c>
      <c r="H104" s="140">
        <f t="shared" ca="1" si="7"/>
        <v>346.29333108292042</v>
      </c>
      <c r="I104" s="140">
        <f t="shared" si="8"/>
        <v>24.000151301886131</v>
      </c>
    </row>
    <row r="105" spans="1:12">
      <c r="A105" s="215" t="s">
        <v>505</v>
      </c>
      <c r="B105" s="215" t="s">
        <v>29</v>
      </c>
      <c r="C105" s="102" t="s">
        <v>169</v>
      </c>
      <c r="D105" s="148" t="s">
        <v>4</v>
      </c>
      <c r="E105" s="64" t="s">
        <v>195</v>
      </c>
      <c r="F105" s="90" t="s">
        <v>168</v>
      </c>
      <c r="G105" s="217">
        <f t="shared" si="6"/>
        <v>3473.3244412401559</v>
      </c>
      <c r="H105" s="140">
        <f t="shared" si="7"/>
        <v>3473.3244412401559</v>
      </c>
      <c r="I105" s="140">
        <f t="shared" si="8"/>
        <v>0</v>
      </c>
    </row>
    <row r="106" spans="1:12">
      <c r="A106" s="215" t="s">
        <v>505</v>
      </c>
      <c r="B106" s="215" t="s">
        <v>29</v>
      </c>
      <c r="C106" s="102" t="s">
        <v>169</v>
      </c>
      <c r="D106" s="148" t="s">
        <v>5</v>
      </c>
      <c r="E106" s="64" t="s">
        <v>195</v>
      </c>
      <c r="F106" s="148" t="s">
        <v>337</v>
      </c>
      <c r="G106" s="217">
        <f t="shared" ca="1" si="6"/>
        <v>125745.78015701812</v>
      </c>
      <c r="H106" s="140">
        <f t="shared" ca="1" si="7"/>
        <v>130155.83992262071</v>
      </c>
      <c r="I106" s="140">
        <f t="shared" si="8"/>
        <v>13292.36576712665</v>
      </c>
    </row>
    <row r="107" spans="1:12">
      <c r="A107" s="215" t="s">
        <v>505</v>
      </c>
      <c r="B107" s="215" t="s">
        <v>29</v>
      </c>
      <c r="C107" s="102" t="s">
        <v>169</v>
      </c>
      <c r="D107" s="148" t="s">
        <v>5</v>
      </c>
      <c r="E107" s="64" t="s">
        <v>195</v>
      </c>
      <c r="F107" s="148" t="s">
        <v>338</v>
      </c>
      <c r="G107" s="217">
        <f t="shared" ca="1" si="6"/>
        <v>51241.744469916164</v>
      </c>
      <c r="H107" s="140">
        <f t="shared" ca="1" si="7"/>
        <v>52994.626784667038</v>
      </c>
      <c r="I107" s="140">
        <f t="shared" si="8"/>
        <v>4567.0003983882498</v>
      </c>
    </row>
    <row r="108" spans="1:12">
      <c r="A108" s="215" t="s">
        <v>505</v>
      </c>
      <c r="B108" s="215" t="s">
        <v>29</v>
      </c>
      <c r="C108" s="102" t="s">
        <v>169</v>
      </c>
      <c r="D108" s="148" t="s">
        <v>5</v>
      </c>
      <c r="E108" s="64" t="s">
        <v>195</v>
      </c>
      <c r="F108" s="148" t="s">
        <v>339</v>
      </c>
      <c r="G108" s="217">
        <f t="shared" ca="1" si="6"/>
        <v>13295.953100836739</v>
      </c>
      <c r="H108" s="140">
        <f t="shared" ca="1" si="7"/>
        <v>13752.302457462061</v>
      </c>
      <c r="I108" s="140">
        <f t="shared" si="8"/>
        <v>953.11491762270532</v>
      </c>
    </row>
    <row r="109" spans="1:12">
      <c r="A109" s="215" t="s">
        <v>505</v>
      </c>
      <c r="B109" s="215" t="s">
        <v>29</v>
      </c>
      <c r="C109" s="102" t="s">
        <v>169</v>
      </c>
      <c r="D109" s="148" t="s">
        <v>5</v>
      </c>
      <c r="E109" s="64" t="s">
        <v>195</v>
      </c>
      <c r="F109" s="90" t="s">
        <v>168</v>
      </c>
      <c r="G109" s="217">
        <f t="shared" si="6"/>
        <v>2499.8824946992781</v>
      </c>
      <c r="H109" s="140">
        <f t="shared" si="7"/>
        <v>2499.8824946992781</v>
      </c>
      <c r="I109" s="140">
        <f t="shared" si="8"/>
        <v>0</v>
      </c>
    </row>
    <row r="110" spans="1:12">
      <c r="A110" s="215" t="s">
        <v>505</v>
      </c>
      <c r="B110" s="215" t="s">
        <v>29</v>
      </c>
      <c r="C110" s="102" t="s">
        <v>169</v>
      </c>
      <c r="D110" s="148" t="s">
        <v>7</v>
      </c>
      <c r="E110" s="64" t="s">
        <v>195</v>
      </c>
      <c r="F110" s="148" t="s">
        <v>337</v>
      </c>
      <c r="G110" s="217">
        <f t="shared" ca="1" si="6"/>
        <v>5238.6998467075746</v>
      </c>
      <c r="H110" s="140">
        <f t="shared" ca="1" si="7"/>
        <v>5422.4275184368762</v>
      </c>
      <c r="I110" s="140">
        <f t="shared" si="8"/>
        <v>553.77376815090633</v>
      </c>
    </row>
    <row r="111" spans="1:12">
      <c r="A111" s="215" t="s">
        <v>505</v>
      </c>
      <c r="B111" s="215" t="s">
        <v>29</v>
      </c>
      <c r="C111" s="102" t="s">
        <v>169</v>
      </c>
      <c r="D111" s="148" t="s">
        <v>7</v>
      </c>
      <c r="E111" s="64" t="s">
        <v>195</v>
      </c>
      <c r="F111" s="148" t="s">
        <v>338</v>
      </c>
      <c r="G111" s="217">
        <f t="shared" ca="1" si="6"/>
        <v>4847.0599359719245</v>
      </c>
      <c r="H111" s="140">
        <f t="shared" ca="1" si="7"/>
        <v>5012.8686087287788</v>
      </c>
      <c r="I111" s="140">
        <f t="shared" si="8"/>
        <v>432.00177682459218</v>
      </c>
    </row>
    <row r="112" spans="1:12">
      <c r="A112" s="215" t="s">
        <v>505</v>
      </c>
      <c r="B112" s="215" t="s">
        <v>29</v>
      </c>
      <c r="C112" s="102" t="s">
        <v>169</v>
      </c>
      <c r="D112" s="148" t="s">
        <v>7</v>
      </c>
      <c r="E112" s="64" t="s">
        <v>195</v>
      </c>
      <c r="F112" s="148" t="s">
        <v>339</v>
      </c>
      <c r="G112" s="217">
        <f t="shared" ca="1" si="6"/>
        <v>502.21326240656282</v>
      </c>
      <c r="H112" s="140">
        <f t="shared" ca="1" si="7"/>
        <v>519.4504395724116</v>
      </c>
      <c r="I112" s="140">
        <f t="shared" si="8"/>
        <v>36.000950710147876</v>
      </c>
    </row>
    <row r="113" spans="1:9">
      <c r="A113" s="215" t="s">
        <v>505</v>
      </c>
      <c r="B113" s="215" t="s">
        <v>29</v>
      </c>
      <c r="C113" s="102" t="s">
        <v>169</v>
      </c>
      <c r="D113" s="148" t="s">
        <v>7</v>
      </c>
      <c r="E113" s="64" t="s">
        <v>195</v>
      </c>
      <c r="F113" s="90" t="s">
        <v>168</v>
      </c>
      <c r="G113" s="217">
        <f t="shared" si="6"/>
        <v>187.52091162770995</v>
      </c>
      <c r="H113" s="140">
        <f t="shared" si="7"/>
        <v>187.52091162770995</v>
      </c>
      <c r="I113" s="140">
        <f t="shared" si="8"/>
        <v>0</v>
      </c>
    </row>
    <row r="114" spans="1:9">
      <c r="A114" s="215" t="s">
        <v>505</v>
      </c>
      <c r="B114" s="215" t="s">
        <v>29</v>
      </c>
      <c r="C114" s="102" t="s">
        <v>170</v>
      </c>
      <c r="D114" s="215" t="s">
        <v>167</v>
      </c>
      <c r="E114" s="64" t="s">
        <v>195</v>
      </c>
      <c r="F114" s="100" t="s">
        <v>337</v>
      </c>
      <c r="G114" s="217">
        <f t="shared" ca="1" si="6"/>
        <v>3595.7492758054891</v>
      </c>
      <c r="H114" s="140">
        <f t="shared" ca="1" si="7"/>
        <v>3719.4329002765362</v>
      </c>
      <c r="I114" s="140">
        <f t="shared" si="8"/>
        <v>382.93389518695301</v>
      </c>
    </row>
    <row r="115" spans="1:9">
      <c r="A115" s="215" t="s">
        <v>505</v>
      </c>
      <c r="B115" s="215" t="s">
        <v>29</v>
      </c>
      <c r="C115" s="102" t="s">
        <v>170</v>
      </c>
      <c r="D115" s="215" t="s">
        <v>167</v>
      </c>
      <c r="E115" s="64" t="s">
        <v>195</v>
      </c>
      <c r="F115" s="100" t="s">
        <v>338</v>
      </c>
      <c r="G115" s="217">
        <f t="shared" ca="1" si="6"/>
        <v>36649.841014516023</v>
      </c>
      <c r="H115" s="140">
        <f t="shared" ca="1" si="7"/>
        <v>37925.120777632321</v>
      </c>
      <c r="I115" s="140">
        <f t="shared" si="8"/>
        <v>3558.2369917005844</v>
      </c>
    </row>
    <row r="116" spans="1:9">
      <c r="A116" s="215" t="s">
        <v>505</v>
      </c>
      <c r="B116" s="215" t="s">
        <v>29</v>
      </c>
      <c r="C116" s="102" t="s">
        <v>170</v>
      </c>
      <c r="D116" s="215" t="s">
        <v>167</v>
      </c>
      <c r="E116" s="64" t="s">
        <v>195</v>
      </c>
      <c r="F116" s="100" t="s">
        <v>339</v>
      </c>
      <c r="G116" s="217">
        <f t="shared" ca="1" si="6"/>
        <v>7326.3977112244493</v>
      </c>
      <c r="H116" s="140">
        <f t="shared" ca="1" si="7"/>
        <v>7581.9080556880626</v>
      </c>
      <c r="I116" s="140">
        <f t="shared" si="8"/>
        <v>670.30171191440525</v>
      </c>
    </row>
    <row r="117" spans="1:9">
      <c r="A117" s="215" t="s">
        <v>505</v>
      </c>
      <c r="B117" s="215" t="s">
        <v>29</v>
      </c>
      <c r="C117" s="102" t="s">
        <v>170</v>
      </c>
      <c r="D117" s="215" t="s">
        <v>167</v>
      </c>
      <c r="E117" s="64" t="s">
        <v>195</v>
      </c>
      <c r="F117" s="100" t="s">
        <v>340</v>
      </c>
      <c r="G117" s="217">
        <f t="shared" ca="1" si="6"/>
        <v>27043.790039609168</v>
      </c>
      <c r="H117" s="140">
        <f t="shared" ca="1" si="7"/>
        <v>27990.969933215445</v>
      </c>
      <c r="I117" s="140">
        <f t="shared" si="8"/>
        <v>2337.4062264139297</v>
      </c>
    </row>
    <row r="118" spans="1:9">
      <c r="A118" s="215" t="s">
        <v>505</v>
      </c>
      <c r="B118" s="215" t="s">
        <v>29</v>
      </c>
      <c r="C118" s="102" t="s">
        <v>170</v>
      </c>
      <c r="D118" s="215" t="s">
        <v>167</v>
      </c>
      <c r="E118" s="64" t="s">
        <v>195</v>
      </c>
      <c r="F118" s="100" t="s">
        <v>341</v>
      </c>
      <c r="G118" s="217">
        <f t="shared" ca="1" si="6"/>
        <v>36875.504942876534</v>
      </c>
      <c r="H118" s="140">
        <f t="shared" ca="1" si="7"/>
        <v>38160.307874447506</v>
      </c>
      <c r="I118" s="140">
        <f t="shared" si="8"/>
        <v>2940.6303782198192</v>
      </c>
    </row>
    <row r="119" spans="1:9">
      <c r="A119" s="215" t="s">
        <v>505</v>
      </c>
      <c r="B119" s="215" t="s">
        <v>29</v>
      </c>
      <c r="C119" s="102" t="s">
        <v>170</v>
      </c>
      <c r="D119" s="215" t="s">
        <v>167</v>
      </c>
      <c r="E119" s="64" t="s">
        <v>195</v>
      </c>
      <c r="F119" s="100" t="s">
        <v>342</v>
      </c>
      <c r="G119" s="217">
        <f t="shared" ca="1" si="6"/>
        <v>18891.928151501514</v>
      </c>
      <c r="H119" s="140">
        <f t="shared" ca="1" si="7"/>
        <v>19550.638295461722</v>
      </c>
      <c r="I119" s="140">
        <f t="shared" si="8"/>
        <v>1226.7485812663319</v>
      </c>
    </row>
    <row r="120" spans="1:9">
      <c r="A120" s="215" t="s">
        <v>505</v>
      </c>
      <c r="B120" s="215" t="s">
        <v>29</v>
      </c>
      <c r="C120" s="102" t="s">
        <v>170</v>
      </c>
      <c r="D120" s="215" t="s">
        <v>167</v>
      </c>
      <c r="E120" s="64" t="s">
        <v>195</v>
      </c>
      <c r="F120" s="100" t="s">
        <v>343</v>
      </c>
      <c r="G120" s="217">
        <f t="shared" ca="1" si="6"/>
        <v>126516.49748192073</v>
      </c>
      <c r="H120" s="140">
        <f t="shared" ca="1" si="7"/>
        <v>131025.68572448262</v>
      </c>
      <c r="I120" s="140">
        <f t="shared" si="8"/>
        <v>26579.096109647213</v>
      </c>
    </row>
    <row r="121" spans="1:9">
      <c r="A121" s="215" t="s">
        <v>505</v>
      </c>
      <c r="B121" s="215" t="s">
        <v>29</v>
      </c>
      <c r="C121" s="102" t="s">
        <v>170</v>
      </c>
      <c r="D121" s="215" t="s">
        <v>167</v>
      </c>
      <c r="E121" s="64" t="s">
        <v>195</v>
      </c>
      <c r="F121" s="100" t="s">
        <v>344</v>
      </c>
      <c r="G121" s="217">
        <f t="shared" ca="1" si="6"/>
        <v>110112.95974217342</v>
      </c>
      <c r="H121" s="140">
        <f t="shared" ca="1" si="7"/>
        <v>113988.93315915966</v>
      </c>
      <c r="I121" s="140">
        <f t="shared" si="8"/>
        <v>20543.462638465189</v>
      </c>
    </row>
    <row r="122" spans="1:9">
      <c r="A122" s="215" t="s">
        <v>505</v>
      </c>
      <c r="B122" s="215" t="s">
        <v>29</v>
      </c>
      <c r="C122" s="102" t="s">
        <v>170</v>
      </c>
      <c r="D122" s="215" t="s">
        <v>167</v>
      </c>
      <c r="E122" s="64" t="s">
        <v>195</v>
      </c>
      <c r="F122" s="100" t="s">
        <v>345</v>
      </c>
      <c r="G122" s="217">
        <f t="shared" ca="1" si="6"/>
        <v>5874.4623317960641</v>
      </c>
      <c r="H122" s="140">
        <f t="shared" ca="1" si="7"/>
        <v>6080.0655276536063</v>
      </c>
      <c r="I122" s="140">
        <f t="shared" si="8"/>
        <v>983.99704050185335</v>
      </c>
    </row>
    <row r="123" spans="1:9">
      <c r="A123" s="215" t="s">
        <v>505</v>
      </c>
      <c r="B123" s="215" t="s">
        <v>29</v>
      </c>
      <c r="C123" s="102" t="s">
        <v>170</v>
      </c>
      <c r="D123" s="215" t="s">
        <v>167</v>
      </c>
      <c r="E123" s="64" t="s">
        <v>195</v>
      </c>
      <c r="F123" s="100" t="s">
        <v>346</v>
      </c>
      <c r="G123" s="217">
        <f t="shared" ca="1" si="6"/>
        <v>122587.1195693008</v>
      </c>
      <c r="H123" s="140">
        <f t="shared" ca="1" si="7"/>
        <v>126840.67157914941</v>
      </c>
      <c r="I123" s="140">
        <f t="shared" si="8"/>
        <v>18658.617894870746</v>
      </c>
    </row>
    <row r="124" spans="1:9">
      <c r="A124" s="215" t="s">
        <v>505</v>
      </c>
      <c r="B124" s="215" t="s">
        <v>29</v>
      </c>
      <c r="C124" s="102" t="s">
        <v>170</v>
      </c>
      <c r="D124" s="215" t="s">
        <v>167</v>
      </c>
      <c r="E124" s="64" t="s">
        <v>195</v>
      </c>
      <c r="F124" s="100" t="s">
        <v>347</v>
      </c>
      <c r="G124" s="217">
        <f t="shared" ca="1" si="6"/>
        <v>17739.060141162885</v>
      </c>
      <c r="H124" s="140">
        <f t="shared" ca="1" si="7"/>
        <v>18344.876016840059</v>
      </c>
      <c r="I124" s="140">
        <f t="shared" si="8"/>
        <v>2440.0357828284577</v>
      </c>
    </row>
    <row r="125" spans="1:9">
      <c r="A125" s="215" t="s">
        <v>505</v>
      </c>
      <c r="B125" s="215" t="s">
        <v>29</v>
      </c>
      <c r="C125" s="102" t="s">
        <v>170</v>
      </c>
      <c r="D125" s="215" t="s">
        <v>167</v>
      </c>
      <c r="E125" s="64" t="s">
        <v>195</v>
      </c>
      <c r="F125" s="100" t="s">
        <v>348</v>
      </c>
      <c r="G125" s="217">
        <f t="shared" ca="1" si="6"/>
        <v>27833.018195374865</v>
      </c>
      <c r="H125" s="140">
        <f t="shared" ca="1" si="7"/>
        <v>28782.120183284122</v>
      </c>
      <c r="I125" s="140">
        <f t="shared" si="8"/>
        <v>3095.9975745689503</v>
      </c>
    </row>
    <row r="126" spans="1:9">
      <c r="A126" s="215" t="s">
        <v>505</v>
      </c>
      <c r="B126" s="215" t="s">
        <v>29</v>
      </c>
      <c r="C126" s="102" t="s">
        <v>170</v>
      </c>
      <c r="D126" s="215" t="s">
        <v>167</v>
      </c>
      <c r="E126" s="64" t="s">
        <v>195</v>
      </c>
      <c r="F126" s="90" t="s">
        <v>168</v>
      </c>
      <c r="G126" s="217">
        <f t="shared" si="6"/>
        <v>-33281.311721933365</v>
      </c>
      <c r="H126" s="140">
        <f t="shared" si="7"/>
        <v>-33281.311721933365</v>
      </c>
      <c r="I126" s="140">
        <f t="shared" si="8"/>
        <v>0</v>
      </c>
    </row>
    <row r="127" spans="1:9">
      <c r="A127" s="215" t="s">
        <v>505</v>
      </c>
      <c r="B127" s="215" t="s">
        <v>29</v>
      </c>
      <c r="C127" s="100" t="s">
        <v>227</v>
      </c>
      <c r="D127" s="102" t="s">
        <v>167</v>
      </c>
      <c r="E127" s="102" t="s">
        <v>195</v>
      </c>
      <c r="F127" s="100" t="s">
        <v>6</v>
      </c>
      <c r="G127" s="217">
        <f t="shared" ca="1" si="6"/>
        <v>125530.68305996206</v>
      </c>
      <c r="H127" s="140">
        <f t="shared" ca="1" si="7"/>
        <v>129874.50494143371</v>
      </c>
      <c r="I127" s="140">
        <f t="shared" si="8"/>
        <v>2111889.0151406806</v>
      </c>
    </row>
    <row r="128" spans="1:9">
      <c r="A128" s="215" t="s">
        <v>505</v>
      </c>
      <c r="B128" s="215" t="s">
        <v>29</v>
      </c>
      <c r="C128" s="100" t="s">
        <v>227</v>
      </c>
      <c r="D128" s="102" t="s">
        <v>167</v>
      </c>
      <c r="E128" s="102" t="s">
        <v>195</v>
      </c>
      <c r="F128" s="90" t="s">
        <v>168</v>
      </c>
      <c r="G128" s="217">
        <f t="shared" si="6"/>
        <v>-7718.6882780666365</v>
      </c>
      <c r="H128" s="140">
        <f t="shared" si="7"/>
        <v>-7718.6882780666365</v>
      </c>
      <c r="I128" s="140">
        <f t="shared" si="8"/>
        <v>0</v>
      </c>
    </row>
    <row r="129" spans="1:12">
      <c r="A129" s="215" t="s">
        <v>505</v>
      </c>
      <c r="B129" s="215" t="s">
        <v>29</v>
      </c>
      <c r="C129" s="100" t="s">
        <v>171</v>
      </c>
      <c r="D129" s="102" t="s">
        <v>5</v>
      </c>
      <c r="E129" s="100" t="s">
        <v>199</v>
      </c>
      <c r="F129" s="102" t="s">
        <v>335</v>
      </c>
      <c r="G129" s="217">
        <f t="shared" ca="1" si="6"/>
        <v>1062.5882645803699</v>
      </c>
      <c r="H129" s="140">
        <f t="shared" ca="1" si="7"/>
        <v>1099.0084414542948</v>
      </c>
      <c r="I129" s="140">
        <f t="shared" si="8"/>
        <v>138.90042674253201</v>
      </c>
    </row>
    <row r="130" spans="1:12">
      <c r="A130" s="215" t="s">
        <v>505</v>
      </c>
      <c r="B130" s="215" t="s">
        <v>29</v>
      </c>
      <c r="C130" s="100" t="s">
        <v>171</v>
      </c>
      <c r="D130" s="102" t="s">
        <v>5</v>
      </c>
      <c r="E130" s="100" t="s">
        <v>200</v>
      </c>
      <c r="F130" s="102" t="s">
        <v>335</v>
      </c>
      <c r="G130" s="217">
        <f t="shared" ca="1" si="6"/>
        <v>2311.6799999999998</v>
      </c>
      <c r="H130" s="140">
        <f t="shared" ca="1" si="7"/>
        <v>2391.894005733579</v>
      </c>
      <c r="I130" s="140">
        <f t="shared" si="8"/>
        <v>168</v>
      </c>
    </row>
    <row r="131" spans="1:12">
      <c r="A131" s="215" t="s">
        <v>505</v>
      </c>
      <c r="B131" s="215" t="s">
        <v>29</v>
      </c>
      <c r="C131" s="100" t="s">
        <v>171</v>
      </c>
      <c r="D131" s="102" t="s">
        <v>5</v>
      </c>
      <c r="E131" s="102" t="s">
        <v>195</v>
      </c>
      <c r="F131" s="100" t="s">
        <v>6</v>
      </c>
      <c r="G131" s="217">
        <f t="shared" ca="1" si="6"/>
        <v>19438.432428787994</v>
      </c>
      <c r="H131" s="140">
        <f t="shared" ca="1" si="7"/>
        <v>20112.654093055819</v>
      </c>
      <c r="I131" s="140">
        <f t="shared" si="8"/>
        <v>312414.5359818064</v>
      </c>
    </row>
    <row r="132" spans="1:12">
      <c r="A132" s="216" t="s">
        <v>505</v>
      </c>
      <c r="B132" s="216" t="s">
        <v>29</v>
      </c>
      <c r="C132" s="150" t="s">
        <v>171</v>
      </c>
      <c r="D132" s="150" t="s">
        <v>5</v>
      </c>
      <c r="E132" s="150" t="s">
        <v>195</v>
      </c>
      <c r="F132" s="265" t="s">
        <v>168</v>
      </c>
      <c r="G132" s="218">
        <f t="shared" si="6"/>
        <v>299.67134569970966</v>
      </c>
      <c r="H132" s="140">
        <f t="shared" si="7"/>
        <v>299.67134569970966</v>
      </c>
      <c r="I132" s="140">
        <f t="shared" si="8"/>
        <v>0</v>
      </c>
    </row>
    <row r="133" spans="1:12">
      <c r="A133" s="233" t="s">
        <v>533</v>
      </c>
      <c r="B133" s="230" t="s">
        <v>29</v>
      </c>
      <c r="C133" s="233" t="s">
        <v>195</v>
      </c>
      <c r="D133" s="233" t="s">
        <v>195</v>
      </c>
      <c r="E133" s="233" t="s">
        <v>195</v>
      </c>
      <c r="F133" s="233" t="s">
        <v>195</v>
      </c>
      <c r="G133" s="235">
        <f ca="1">'Cost of Service and Proposed $'!AA128</f>
        <v>1069488.1769280238</v>
      </c>
    </row>
    <row r="134" spans="1:12">
      <c r="A134" s="219" t="s">
        <v>506</v>
      </c>
      <c r="B134" s="219" t="s">
        <v>403</v>
      </c>
      <c r="C134" s="145" t="s">
        <v>169</v>
      </c>
      <c r="D134" s="75" t="s">
        <v>195</v>
      </c>
      <c r="E134" s="75" t="s">
        <v>195</v>
      </c>
      <c r="F134" s="146" t="s">
        <v>337</v>
      </c>
      <c r="G134" s="323">
        <f ca="1">ROUND(H134/100*K134/L134,I134)</f>
        <v>10.06</v>
      </c>
      <c r="H134" s="236">
        <f>100+Summary!$R$19</f>
        <v>96.66</v>
      </c>
      <c r="I134" s="140">
        <v>2</v>
      </c>
      <c r="J134" s="311">
        <f ca="1">K134/L134</f>
        <v>10.402936963437348</v>
      </c>
      <c r="K134" s="140">
        <f ca="1">SUMIFS(G$102:G$132,C$102:C$132,C134,E$102:E$132,E134,F$102:F$132,F134)/SUMIFS(G$102:G$132,F$102:F$132,"&lt;&gt;Unbilled")*(G$133-SUMIFS(G$102:G$132,F$102:F$132,"Unbilled"))</f>
        <v>262207.00415774243</v>
      </c>
      <c r="L134" s="143">
        <f t="shared" ref="L134" si="9">SUMIFS(G$7:G$31,C$7:C$31,C134,E$7:E$31,E134,F$7:F$31,F134)</f>
        <v>25205.094011365014</v>
      </c>
    </row>
    <row r="135" spans="1:12">
      <c r="A135" s="215" t="s">
        <v>506</v>
      </c>
      <c r="B135" s="215" t="s">
        <v>403</v>
      </c>
      <c r="C135" s="102" t="s">
        <v>169</v>
      </c>
      <c r="D135" s="64" t="s">
        <v>195</v>
      </c>
      <c r="E135" s="64" t="s">
        <v>195</v>
      </c>
      <c r="F135" s="148" t="s">
        <v>338</v>
      </c>
      <c r="G135" s="324">
        <f t="shared" ref="G135:G152" ca="1" si="10">ROUND(H135/100*K135/L135,I135)</f>
        <v>11.93</v>
      </c>
      <c r="H135" s="236">
        <f>100+Summary!$R$19</f>
        <v>96.66</v>
      </c>
      <c r="I135" s="140">
        <v>2</v>
      </c>
      <c r="J135" s="311">
        <f t="shared" ref="J135:J152" ca="1" si="11">K135/L135</f>
        <v>12.338367096169877</v>
      </c>
      <c r="K135" s="140">
        <f t="shared" ref="K135:K152" ca="1" si="12">SUMIFS(G$102:G$132,C$102:C$132,C135,E$102:E$132,E135,F$102:F$132,F135)/SUMIFS(G$102:G$132,F$102:F$132,"&lt;&gt;Unbilled")*(G$133-SUMIFS(G$102:G$132,F$102:F$132,"Unbilled"))</f>
        <v>68173.617026729815</v>
      </c>
      <c r="L135" s="143">
        <f t="shared" ref="L135:L152" si="13">SUMIFS(G$7:G$31,C$7:C$31,C135,E$7:E$31,E135,F$7:F$31,F135)</f>
        <v>5525.3354431229827</v>
      </c>
    </row>
    <row r="136" spans="1:12">
      <c r="A136" s="215" t="s">
        <v>506</v>
      </c>
      <c r="B136" s="215" t="s">
        <v>403</v>
      </c>
      <c r="C136" s="102" t="s">
        <v>169</v>
      </c>
      <c r="D136" s="64" t="s">
        <v>195</v>
      </c>
      <c r="E136" s="64" t="s">
        <v>195</v>
      </c>
      <c r="F136" s="148" t="s">
        <v>339</v>
      </c>
      <c r="G136" s="324">
        <f t="shared" ca="1" si="10"/>
        <v>14.83</v>
      </c>
      <c r="H136" s="236">
        <f>100+Summary!$R$19</f>
        <v>96.66</v>
      </c>
      <c r="I136" s="140">
        <v>2</v>
      </c>
      <c r="J136" s="311">
        <f t="shared" ca="1" si="11"/>
        <v>15.340483154328856</v>
      </c>
      <c r="K136" s="140">
        <f t="shared" ca="1" si="12"/>
        <v>15541.689232587421</v>
      </c>
      <c r="L136" s="143">
        <f t="shared" si="13"/>
        <v>1013.1160196347394</v>
      </c>
    </row>
    <row r="137" spans="1:12">
      <c r="A137" s="215" t="s">
        <v>506</v>
      </c>
      <c r="B137" s="215" t="s">
        <v>403</v>
      </c>
      <c r="C137" s="102" t="s">
        <v>170</v>
      </c>
      <c r="D137" s="64" t="s">
        <v>195</v>
      </c>
      <c r="E137" s="64" t="s">
        <v>195</v>
      </c>
      <c r="F137" s="100" t="s">
        <v>337</v>
      </c>
      <c r="G137" s="324">
        <f t="shared" ca="1" si="10"/>
        <v>9.98</v>
      </c>
      <c r="H137" s="236">
        <f>100+Summary!$R$19</f>
        <v>96.66</v>
      </c>
      <c r="I137" s="140">
        <v>2</v>
      </c>
      <c r="J137" s="311">
        <f t="shared" ca="1" si="11"/>
        <v>10.325959628612758</v>
      </c>
      <c r="K137" s="140">
        <f t="shared" ca="1" si="12"/>
        <v>3954.1599421279061</v>
      </c>
      <c r="L137" s="143">
        <f t="shared" si="13"/>
        <v>382.93389518695301</v>
      </c>
    </row>
    <row r="138" spans="1:12">
      <c r="A138" s="215" t="s">
        <v>506</v>
      </c>
      <c r="B138" s="215" t="s">
        <v>403</v>
      </c>
      <c r="C138" s="102" t="s">
        <v>170</v>
      </c>
      <c r="D138" s="64" t="s">
        <v>195</v>
      </c>
      <c r="E138" s="64" t="s">
        <v>195</v>
      </c>
      <c r="F138" s="100" t="s">
        <v>338</v>
      </c>
      <c r="G138" s="324">
        <f t="shared" ca="1" si="10"/>
        <v>10.95</v>
      </c>
      <c r="H138" s="236">
        <f>100+Summary!$R$19</f>
        <v>96.66</v>
      </c>
      <c r="I138" s="140">
        <v>2</v>
      </c>
      <c r="J138" s="311">
        <f t="shared" ca="1" si="11"/>
        <v>11.326664981332417</v>
      </c>
      <c r="K138" s="140">
        <f t="shared" ca="1" si="12"/>
        <v>40302.958329176618</v>
      </c>
      <c r="L138" s="143">
        <f t="shared" si="13"/>
        <v>3558.2369917005844</v>
      </c>
    </row>
    <row r="139" spans="1:12">
      <c r="A139" s="215" t="s">
        <v>506</v>
      </c>
      <c r="B139" s="215" t="s">
        <v>403</v>
      </c>
      <c r="C139" s="102" t="s">
        <v>170</v>
      </c>
      <c r="D139" s="64" t="s">
        <v>195</v>
      </c>
      <c r="E139" s="64" t="s">
        <v>195</v>
      </c>
      <c r="F139" s="100" t="s">
        <v>339</v>
      </c>
      <c r="G139" s="324">
        <f t="shared" ca="1" si="10"/>
        <v>11.62</v>
      </c>
      <c r="H139" s="236">
        <f>100+Summary!$R$19</f>
        <v>96.66</v>
      </c>
      <c r="I139" s="140">
        <v>2</v>
      </c>
      <c r="J139" s="311">
        <f t="shared" ca="1" si="11"/>
        <v>12.019460994753718</v>
      </c>
      <c r="K139" s="140">
        <f t="shared" ca="1" si="12"/>
        <v>8056.6652810718379</v>
      </c>
      <c r="L139" s="143">
        <f t="shared" si="13"/>
        <v>670.30171191440525</v>
      </c>
    </row>
    <row r="140" spans="1:12">
      <c r="A140" s="215" t="s">
        <v>506</v>
      </c>
      <c r="B140" s="215" t="s">
        <v>403</v>
      </c>
      <c r="C140" s="102" t="s">
        <v>170</v>
      </c>
      <c r="D140" s="64" t="s">
        <v>195</v>
      </c>
      <c r="E140" s="64" t="s">
        <v>195</v>
      </c>
      <c r="F140" s="100" t="s">
        <v>340</v>
      </c>
      <c r="G140" s="324">
        <f t="shared" ca="1" si="10"/>
        <v>12.3</v>
      </c>
      <c r="H140" s="236">
        <f>100+Summary!$R$19</f>
        <v>96.66</v>
      </c>
      <c r="I140" s="140">
        <v>2</v>
      </c>
      <c r="J140" s="311">
        <f t="shared" ca="1" si="11"/>
        <v>12.723253770292823</v>
      </c>
      <c r="K140" s="140">
        <f t="shared" ca="1" si="12"/>
        <v>29739.412582926951</v>
      </c>
      <c r="L140" s="143">
        <f t="shared" si="13"/>
        <v>2337.4062264139297</v>
      </c>
    </row>
    <row r="141" spans="1:12">
      <c r="A141" s="215" t="s">
        <v>506</v>
      </c>
      <c r="B141" s="215" t="s">
        <v>403</v>
      </c>
      <c r="C141" s="102" t="s">
        <v>170</v>
      </c>
      <c r="D141" s="64" t="s">
        <v>195</v>
      </c>
      <c r="E141" s="64" t="s">
        <v>195</v>
      </c>
      <c r="F141" s="100" t="s">
        <v>341</v>
      </c>
      <c r="G141" s="324">
        <f t="shared" ca="1" si="10"/>
        <v>13.33</v>
      </c>
      <c r="H141" s="236">
        <f>100+Summary!$R$19</f>
        <v>96.66</v>
      </c>
      <c r="I141" s="140">
        <v>2</v>
      </c>
      <c r="J141" s="311">
        <f t="shared" ca="1" si="11"/>
        <v>13.789939695719275</v>
      </c>
      <c r="K141" s="140">
        <f t="shared" ca="1" si="12"/>
        <v>40551.115583051469</v>
      </c>
      <c r="L141" s="143">
        <f t="shared" si="13"/>
        <v>2940.6303782198192</v>
      </c>
    </row>
    <row r="142" spans="1:12">
      <c r="A142" s="215" t="s">
        <v>506</v>
      </c>
      <c r="B142" s="215" t="s">
        <v>403</v>
      </c>
      <c r="C142" s="102" t="s">
        <v>170</v>
      </c>
      <c r="D142" s="64" t="s">
        <v>195</v>
      </c>
      <c r="E142" s="64" t="s">
        <v>195</v>
      </c>
      <c r="F142" s="100" t="s">
        <v>342</v>
      </c>
      <c r="G142" s="324">
        <f t="shared" ca="1" si="10"/>
        <v>16.37</v>
      </c>
      <c r="H142" s="236">
        <f>100+Summary!$R$19</f>
        <v>96.66</v>
      </c>
      <c r="I142" s="140">
        <v>2</v>
      </c>
      <c r="J142" s="311">
        <f t="shared" ca="1" si="11"/>
        <v>16.935013661409634</v>
      </c>
      <c r="K142" s="140">
        <f t="shared" ca="1" si="12"/>
        <v>20775.003982860217</v>
      </c>
      <c r="L142" s="143">
        <f t="shared" si="13"/>
        <v>1226.7485812663319</v>
      </c>
    </row>
    <row r="143" spans="1:12">
      <c r="A143" s="215" t="s">
        <v>506</v>
      </c>
      <c r="B143" s="215" t="s">
        <v>403</v>
      </c>
      <c r="C143" s="102" t="s">
        <v>170</v>
      </c>
      <c r="D143" s="64" t="s">
        <v>195</v>
      </c>
      <c r="E143" s="64" t="s">
        <v>195</v>
      </c>
      <c r="F143" s="100" t="s">
        <v>343</v>
      </c>
      <c r="G143" s="324">
        <f t="shared" ca="1" si="10"/>
        <v>5.0599999999999996</v>
      </c>
      <c r="H143" s="236">
        <f>100+Summary!$R$19</f>
        <v>96.66</v>
      </c>
      <c r="I143" s="140">
        <v>2</v>
      </c>
      <c r="J143" s="311">
        <f t="shared" ca="1" si="11"/>
        <v>5.2344587680720673</v>
      </c>
      <c r="K143" s="140">
        <f t="shared" ca="1" si="12"/>
        <v>139127.18267857304</v>
      </c>
      <c r="L143" s="143">
        <f t="shared" si="13"/>
        <v>26579.096109647213</v>
      </c>
    </row>
    <row r="144" spans="1:12">
      <c r="A144" s="215" t="s">
        <v>506</v>
      </c>
      <c r="B144" s="215" t="s">
        <v>403</v>
      </c>
      <c r="C144" s="102" t="s">
        <v>170</v>
      </c>
      <c r="D144" s="64" t="s">
        <v>195</v>
      </c>
      <c r="E144" s="64" t="s">
        <v>195</v>
      </c>
      <c r="F144" s="100" t="s">
        <v>344</v>
      </c>
      <c r="G144" s="324">
        <f t="shared" ca="1" si="10"/>
        <v>5.7</v>
      </c>
      <c r="H144" s="236">
        <f>100+Summary!$R$19</f>
        <v>96.66</v>
      </c>
      <c r="I144" s="140">
        <v>2</v>
      </c>
      <c r="J144" s="311">
        <f t="shared" ca="1" si="11"/>
        <v>5.8942644951399759</v>
      </c>
      <c r="K144" s="140">
        <f t="shared" ca="1" si="12"/>
        <v>121088.60243713998</v>
      </c>
      <c r="L144" s="143">
        <f t="shared" si="13"/>
        <v>20543.462638465189</v>
      </c>
    </row>
    <row r="145" spans="1:12">
      <c r="A145" s="215" t="s">
        <v>506</v>
      </c>
      <c r="B145" s="215" t="s">
        <v>403</v>
      </c>
      <c r="C145" s="102" t="s">
        <v>170</v>
      </c>
      <c r="D145" s="64" t="s">
        <v>195</v>
      </c>
      <c r="E145" s="64" t="s">
        <v>195</v>
      </c>
      <c r="F145" s="100" t="s">
        <v>345</v>
      </c>
      <c r="G145" s="324">
        <f t="shared" ca="1" si="10"/>
        <v>6.35</v>
      </c>
      <c r="H145" s="236">
        <f>100+Summary!$R$19</f>
        <v>96.66</v>
      </c>
      <c r="I145" s="140">
        <v>2</v>
      </c>
      <c r="J145" s="311">
        <f t="shared" ca="1" si="11"/>
        <v>6.5650669843256813</v>
      </c>
      <c r="K145" s="140">
        <f t="shared" ca="1" si="12"/>
        <v>6460.0064832728976</v>
      </c>
      <c r="L145" s="143">
        <f t="shared" si="13"/>
        <v>983.99704050185335</v>
      </c>
    </row>
    <row r="146" spans="1:12">
      <c r="A146" s="215" t="s">
        <v>506</v>
      </c>
      <c r="B146" s="215" t="s">
        <v>403</v>
      </c>
      <c r="C146" s="102" t="s">
        <v>170</v>
      </c>
      <c r="D146" s="64" t="s">
        <v>195</v>
      </c>
      <c r="E146" s="64" t="s">
        <v>195</v>
      </c>
      <c r="F146" s="100" t="s">
        <v>346</v>
      </c>
      <c r="G146" s="324">
        <f t="shared" ca="1" si="10"/>
        <v>6.98</v>
      </c>
      <c r="H146" s="236">
        <f>100+Summary!$R$19</f>
        <v>96.66</v>
      </c>
      <c r="I146" s="140">
        <v>2</v>
      </c>
      <c r="J146" s="311">
        <f t="shared" ca="1" si="11"/>
        <v>7.2248727113935907</v>
      </c>
      <c r="K146" s="140">
        <f t="shared" ca="1" si="12"/>
        <v>134806.13926097177</v>
      </c>
      <c r="L146" s="143">
        <f t="shared" si="13"/>
        <v>18658.617894870746</v>
      </c>
    </row>
    <row r="147" spans="1:12">
      <c r="A147" s="215" t="s">
        <v>506</v>
      </c>
      <c r="B147" s="215" t="s">
        <v>403</v>
      </c>
      <c r="C147" s="102" t="s">
        <v>170</v>
      </c>
      <c r="D147" s="64" t="s">
        <v>195</v>
      </c>
      <c r="E147" s="64" t="s">
        <v>195</v>
      </c>
      <c r="F147" s="100" t="s">
        <v>347</v>
      </c>
      <c r="G147" s="324">
        <f t="shared" ca="1" si="10"/>
        <v>7.73</v>
      </c>
      <c r="H147" s="236">
        <f>100+Summary!$R$19</f>
        <v>96.66</v>
      </c>
      <c r="I147" s="140">
        <v>2</v>
      </c>
      <c r="J147" s="311">
        <f t="shared" ca="1" si="11"/>
        <v>7.9946460596394813</v>
      </c>
      <c r="K147" s="140">
        <f t="shared" ca="1" si="12"/>
        <v>19507.222456568867</v>
      </c>
      <c r="L147" s="143">
        <f t="shared" si="13"/>
        <v>2440.0357828284577</v>
      </c>
    </row>
    <row r="148" spans="1:12">
      <c r="A148" s="215" t="s">
        <v>506</v>
      </c>
      <c r="B148" s="215" t="s">
        <v>403</v>
      </c>
      <c r="C148" s="102" t="s">
        <v>170</v>
      </c>
      <c r="D148" s="64" t="s">
        <v>195</v>
      </c>
      <c r="E148" s="64" t="s">
        <v>195</v>
      </c>
      <c r="F148" s="100" t="s">
        <v>348</v>
      </c>
      <c r="G148" s="324">
        <f t="shared" ca="1" si="10"/>
        <v>9.56</v>
      </c>
      <c r="H148" s="236">
        <f>100+Summary!$R$19</f>
        <v>96.66</v>
      </c>
      <c r="I148" s="140">
        <v>2</v>
      </c>
      <c r="J148" s="311">
        <f t="shared" ca="1" si="11"/>
        <v>9.8860891439008203</v>
      </c>
      <c r="K148" s="140">
        <f t="shared" ca="1" si="12"/>
        <v>30607.308011489367</v>
      </c>
      <c r="L148" s="143">
        <f t="shared" si="13"/>
        <v>3095.9975745689503</v>
      </c>
    </row>
    <row r="149" spans="1:12">
      <c r="A149" s="215" t="s">
        <v>506</v>
      </c>
      <c r="B149" s="215" t="s">
        <v>403</v>
      </c>
      <c r="C149" s="100" t="s">
        <v>227</v>
      </c>
      <c r="D149" s="102" t="s">
        <v>195</v>
      </c>
      <c r="E149" s="102" t="s">
        <v>195</v>
      </c>
      <c r="F149" s="100" t="s">
        <v>6</v>
      </c>
      <c r="G149" s="324">
        <f t="shared" ca="1" si="10"/>
        <v>6.318E-2</v>
      </c>
      <c r="H149" s="236">
        <f>100+Summary!$R$19</f>
        <v>96.66</v>
      </c>
      <c r="I149" s="140">
        <v>5</v>
      </c>
      <c r="J149" s="311">
        <f t="shared" ca="1" si="11"/>
        <v>6.5364754028194055E-2</v>
      </c>
      <c r="K149" s="140">
        <f t="shared" ca="1" si="12"/>
        <v>138043.10600951558</v>
      </c>
      <c r="L149" s="143">
        <f t="shared" si="13"/>
        <v>2111889.0151406806</v>
      </c>
    </row>
    <row r="150" spans="1:12">
      <c r="A150" s="215" t="s">
        <v>506</v>
      </c>
      <c r="B150" s="215" t="s">
        <v>403</v>
      </c>
      <c r="C150" s="100" t="s">
        <v>171</v>
      </c>
      <c r="D150" s="102" t="s">
        <v>195</v>
      </c>
      <c r="E150" s="100" t="s">
        <v>199</v>
      </c>
      <c r="F150" s="102" t="s">
        <v>335</v>
      </c>
      <c r="G150" s="324">
        <f t="shared" ca="1" si="10"/>
        <v>8.1300000000000008</v>
      </c>
      <c r="H150" s="236">
        <f>100+Summary!$R$19</f>
        <v>96.66</v>
      </c>
      <c r="I150" s="140">
        <v>2</v>
      </c>
      <c r="J150" s="311">
        <f t="shared" ca="1" si="11"/>
        <v>8.4125230201158239</v>
      </c>
      <c r="K150" s="140">
        <f t="shared" ca="1" si="12"/>
        <v>1168.5030374754622</v>
      </c>
      <c r="L150" s="143">
        <f t="shared" si="13"/>
        <v>138.90042674253201</v>
      </c>
    </row>
    <row r="151" spans="1:12">
      <c r="A151" s="215" t="s">
        <v>506</v>
      </c>
      <c r="B151" s="215" t="s">
        <v>403</v>
      </c>
      <c r="C151" s="100" t="s">
        <v>171</v>
      </c>
      <c r="D151" s="102" t="s">
        <v>195</v>
      </c>
      <c r="E151" s="100" t="s">
        <v>200</v>
      </c>
      <c r="F151" s="102" t="s">
        <v>335</v>
      </c>
      <c r="G151" s="324">
        <f t="shared" ca="1" si="10"/>
        <v>14.63</v>
      </c>
      <c r="H151" s="236">
        <f>100+Summary!$R$19</f>
        <v>96.66</v>
      </c>
      <c r="I151" s="140">
        <v>2</v>
      </c>
      <c r="J151" s="311">
        <f t="shared" ca="1" si="11"/>
        <v>15.131544674090684</v>
      </c>
      <c r="K151" s="140">
        <f t="shared" ca="1" si="12"/>
        <v>2542.0995052472349</v>
      </c>
      <c r="L151" s="143">
        <f t="shared" si="13"/>
        <v>168</v>
      </c>
    </row>
    <row r="152" spans="1:12">
      <c r="A152" s="216" t="s">
        <v>506</v>
      </c>
      <c r="B152" s="216" t="s">
        <v>403</v>
      </c>
      <c r="C152" s="152" t="s">
        <v>171</v>
      </c>
      <c r="D152" s="150" t="s">
        <v>195</v>
      </c>
      <c r="E152" s="150" t="s">
        <v>195</v>
      </c>
      <c r="F152" s="152" t="s">
        <v>6</v>
      </c>
      <c r="G152" s="325">
        <f t="shared" ca="1" si="10"/>
        <v>6.6140000000000004E-2</v>
      </c>
      <c r="H152" s="236">
        <f>100+Summary!$R$19</f>
        <v>96.66</v>
      </c>
      <c r="I152" s="140">
        <v>5</v>
      </c>
      <c r="J152" s="311">
        <f t="shared" ca="1" si="11"/>
        <v>6.8421853896942025E-2</v>
      </c>
      <c r="K152" s="140">
        <f t="shared" ca="1" si="12"/>
        <v>21375.981736228096</v>
      </c>
      <c r="L152" s="143">
        <f t="shared" si="13"/>
        <v>312414.5359818064</v>
      </c>
    </row>
    <row r="153" spans="1:12">
      <c r="A153" s="219" t="s">
        <v>506</v>
      </c>
      <c r="B153" s="219" t="s">
        <v>29</v>
      </c>
      <c r="C153" s="145" t="s">
        <v>169</v>
      </c>
      <c r="D153" s="146" t="s">
        <v>4</v>
      </c>
      <c r="E153" s="75" t="s">
        <v>195</v>
      </c>
      <c r="F153" s="146" t="s">
        <v>337</v>
      </c>
      <c r="G153" s="220">
        <f t="shared" ref="G153:G183" ca="1" si="14">IF(F153="Unbilled",SUMIFS(G$51:G$81,C$51:C$81,C153,D$51:D$81,D153,F$51:F$81,F153),SUMIFS(G$134:G$152,C$134:C$152,C153,E$134:E$152,E153,F$134:F$152,F153)*I153)</f>
        <v>114271.08202943983</v>
      </c>
      <c r="H153" s="140">
        <f t="shared" ref="H153:H183" ca="1" si="15">IF(F153="Unbilled",SUMIFS(G$51:G$81,C$51:C$81,C153,D$51:D$81,D153,F$51:F$81,F153),SUMIFS(J$134:J$152,C$134:C$152,C153,E$134:E$152,E153,F$134:F$152,F153)*I153)</f>
        <v>118166.48738529233</v>
      </c>
      <c r="I153" s="140">
        <f t="shared" ref="I153:I183" si="16">SUMIFS(G$7:G$31,C$7:C$31,C153,D$7:D$31,D153,E$7:E$31,E153,F$7:F$31,F153)</f>
        <v>11358.954476087458</v>
      </c>
    </row>
    <row r="154" spans="1:12">
      <c r="A154" s="215" t="s">
        <v>506</v>
      </c>
      <c r="B154" s="215" t="s">
        <v>29</v>
      </c>
      <c r="C154" s="102" t="s">
        <v>169</v>
      </c>
      <c r="D154" s="148" t="s">
        <v>4</v>
      </c>
      <c r="E154" s="64" t="s">
        <v>195</v>
      </c>
      <c r="F154" s="148" t="s">
        <v>338</v>
      </c>
      <c r="G154" s="217">
        <f t="shared" ca="1" si="14"/>
        <v>6279.1558861679778</v>
      </c>
      <c r="H154" s="140">
        <f t="shared" ca="1" si="15"/>
        <v>6494.0930744020443</v>
      </c>
      <c r="I154" s="140">
        <f t="shared" si="16"/>
        <v>526.33326791014065</v>
      </c>
    </row>
    <row r="155" spans="1:12">
      <c r="A155" s="215" t="s">
        <v>506</v>
      </c>
      <c r="B155" s="215" t="s">
        <v>29</v>
      </c>
      <c r="C155" s="102" t="s">
        <v>169</v>
      </c>
      <c r="D155" s="148" t="s">
        <v>4</v>
      </c>
      <c r="E155" s="64" t="s">
        <v>195</v>
      </c>
      <c r="F155" s="148" t="s">
        <v>339</v>
      </c>
      <c r="G155" s="217">
        <f t="shared" ca="1" si="14"/>
        <v>355.92224380697132</v>
      </c>
      <c r="H155" s="140">
        <f t="shared" ca="1" si="15"/>
        <v>368.17391674792793</v>
      </c>
      <c r="I155" s="140">
        <f t="shared" si="16"/>
        <v>24.000151301886131</v>
      </c>
    </row>
    <row r="156" spans="1:12">
      <c r="A156" s="215" t="s">
        <v>506</v>
      </c>
      <c r="B156" s="215" t="s">
        <v>29</v>
      </c>
      <c r="C156" s="102" t="s">
        <v>169</v>
      </c>
      <c r="D156" s="148" t="s">
        <v>4</v>
      </c>
      <c r="E156" s="64" t="s">
        <v>195</v>
      </c>
      <c r="F156" s="90" t="s">
        <v>168</v>
      </c>
      <c r="G156" s="217">
        <f t="shared" si="14"/>
        <v>3473.3244412401559</v>
      </c>
      <c r="H156" s="140">
        <f t="shared" si="15"/>
        <v>3473.3244412401559</v>
      </c>
      <c r="I156" s="140">
        <f t="shared" si="16"/>
        <v>0</v>
      </c>
    </row>
    <row r="157" spans="1:12">
      <c r="A157" s="215" t="s">
        <v>506</v>
      </c>
      <c r="B157" s="215" t="s">
        <v>29</v>
      </c>
      <c r="C157" s="102" t="s">
        <v>169</v>
      </c>
      <c r="D157" s="148" t="s">
        <v>5</v>
      </c>
      <c r="E157" s="64" t="s">
        <v>195</v>
      </c>
      <c r="F157" s="148" t="s">
        <v>337</v>
      </c>
      <c r="G157" s="217">
        <f t="shared" ca="1" si="14"/>
        <v>133721.1996172941</v>
      </c>
      <c r="H157" s="140">
        <f t="shared" ca="1" si="15"/>
        <v>138279.64317037107</v>
      </c>
      <c r="I157" s="140">
        <f t="shared" si="16"/>
        <v>13292.36576712665</v>
      </c>
    </row>
    <row r="158" spans="1:12">
      <c r="A158" s="215" t="s">
        <v>506</v>
      </c>
      <c r="B158" s="215" t="s">
        <v>29</v>
      </c>
      <c r="C158" s="102" t="s">
        <v>169</v>
      </c>
      <c r="D158" s="148" t="s">
        <v>5</v>
      </c>
      <c r="E158" s="64" t="s">
        <v>195</v>
      </c>
      <c r="F158" s="148" t="s">
        <v>338</v>
      </c>
      <c r="G158" s="217">
        <f t="shared" ca="1" si="14"/>
        <v>54484.314752771817</v>
      </c>
      <c r="H158" s="140">
        <f t="shared" ca="1" si="15"/>
        <v>56349.327443668299</v>
      </c>
      <c r="I158" s="140">
        <f t="shared" si="16"/>
        <v>4567.0003983882498</v>
      </c>
    </row>
    <row r="159" spans="1:12">
      <c r="A159" s="215" t="s">
        <v>506</v>
      </c>
      <c r="B159" s="215" t="s">
        <v>29</v>
      </c>
      <c r="C159" s="102" t="s">
        <v>169</v>
      </c>
      <c r="D159" s="148" t="s">
        <v>5</v>
      </c>
      <c r="E159" s="64" t="s">
        <v>195</v>
      </c>
      <c r="F159" s="148" t="s">
        <v>339</v>
      </c>
      <c r="G159" s="217">
        <f t="shared" ca="1" si="14"/>
        <v>14134.694228344721</v>
      </c>
      <c r="H159" s="140">
        <f t="shared" ca="1" si="15"/>
        <v>14621.243337930646</v>
      </c>
      <c r="I159" s="140">
        <f t="shared" si="16"/>
        <v>953.11491762270532</v>
      </c>
    </row>
    <row r="160" spans="1:12">
      <c r="A160" s="215" t="s">
        <v>506</v>
      </c>
      <c r="B160" s="215" t="s">
        <v>29</v>
      </c>
      <c r="C160" s="102" t="s">
        <v>169</v>
      </c>
      <c r="D160" s="148" t="s">
        <v>5</v>
      </c>
      <c r="E160" s="64" t="s">
        <v>195</v>
      </c>
      <c r="F160" s="90" t="s">
        <v>168</v>
      </c>
      <c r="G160" s="217">
        <f t="shared" si="14"/>
        <v>2499.8824946992781</v>
      </c>
      <c r="H160" s="140">
        <f t="shared" si="15"/>
        <v>2499.8824946992781</v>
      </c>
      <c r="I160" s="140">
        <f t="shared" si="16"/>
        <v>0</v>
      </c>
    </row>
    <row r="161" spans="1:9">
      <c r="A161" s="215" t="s">
        <v>506</v>
      </c>
      <c r="B161" s="215" t="s">
        <v>29</v>
      </c>
      <c r="C161" s="102" t="s">
        <v>169</v>
      </c>
      <c r="D161" s="148" t="s">
        <v>7</v>
      </c>
      <c r="E161" s="64" t="s">
        <v>195</v>
      </c>
      <c r="F161" s="148" t="s">
        <v>337</v>
      </c>
      <c r="G161" s="217">
        <f t="shared" ca="1" si="14"/>
        <v>5570.9641075981181</v>
      </c>
      <c r="H161" s="140">
        <f t="shared" ca="1" si="15"/>
        <v>5760.8736020790475</v>
      </c>
      <c r="I161" s="140">
        <f t="shared" si="16"/>
        <v>553.77376815090633</v>
      </c>
    </row>
    <row r="162" spans="1:9">
      <c r="A162" s="215" t="s">
        <v>506</v>
      </c>
      <c r="B162" s="215" t="s">
        <v>29</v>
      </c>
      <c r="C162" s="102" t="s">
        <v>169</v>
      </c>
      <c r="D162" s="148" t="s">
        <v>7</v>
      </c>
      <c r="E162" s="64" t="s">
        <v>195</v>
      </c>
      <c r="F162" s="148" t="s">
        <v>338</v>
      </c>
      <c r="G162" s="217">
        <f t="shared" ca="1" si="14"/>
        <v>5153.7811975173845</v>
      </c>
      <c r="H162" s="140">
        <f t="shared" ca="1" si="15"/>
        <v>5330.196508659471</v>
      </c>
      <c r="I162" s="140">
        <f t="shared" si="16"/>
        <v>432.00177682459218</v>
      </c>
    </row>
    <row r="163" spans="1:9">
      <c r="A163" s="215" t="s">
        <v>506</v>
      </c>
      <c r="B163" s="215" t="s">
        <v>29</v>
      </c>
      <c r="C163" s="102" t="s">
        <v>169</v>
      </c>
      <c r="D163" s="148" t="s">
        <v>7</v>
      </c>
      <c r="E163" s="64" t="s">
        <v>195</v>
      </c>
      <c r="F163" s="148" t="s">
        <v>339</v>
      </c>
      <c r="G163" s="217">
        <f t="shared" ca="1" si="14"/>
        <v>533.89409903149306</v>
      </c>
      <c r="H163" s="140">
        <f t="shared" ca="1" si="15"/>
        <v>552.27197790884702</v>
      </c>
      <c r="I163" s="140">
        <f t="shared" si="16"/>
        <v>36.000950710147876</v>
      </c>
    </row>
    <row r="164" spans="1:9">
      <c r="A164" s="215" t="s">
        <v>506</v>
      </c>
      <c r="B164" s="215" t="s">
        <v>29</v>
      </c>
      <c r="C164" s="102" t="s">
        <v>169</v>
      </c>
      <c r="D164" s="148" t="s">
        <v>7</v>
      </c>
      <c r="E164" s="64" t="s">
        <v>195</v>
      </c>
      <c r="F164" s="90" t="s">
        <v>168</v>
      </c>
      <c r="G164" s="217">
        <f t="shared" si="14"/>
        <v>187.52091162770995</v>
      </c>
      <c r="H164" s="140">
        <f t="shared" si="15"/>
        <v>187.52091162770995</v>
      </c>
      <c r="I164" s="140">
        <f t="shared" si="16"/>
        <v>0</v>
      </c>
    </row>
    <row r="165" spans="1:9">
      <c r="A165" s="215" t="s">
        <v>506</v>
      </c>
      <c r="B165" s="215" t="s">
        <v>29</v>
      </c>
      <c r="C165" s="102" t="s">
        <v>170</v>
      </c>
      <c r="D165" s="215" t="s">
        <v>167</v>
      </c>
      <c r="E165" s="64" t="s">
        <v>195</v>
      </c>
      <c r="F165" s="100" t="s">
        <v>337</v>
      </c>
      <c r="G165" s="217">
        <f t="shared" ca="1" si="14"/>
        <v>3821.680273965791</v>
      </c>
      <c r="H165" s="140">
        <f t="shared" ca="1" si="15"/>
        <v>3954.1599421279061</v>
      </c>
      <c r="I165" s="140">
        <f t="shared" si="16"/>
        <v>382.93389518695301</v>
      </c>
    </row>
    <row r="166" spans="1:9">
      <c r="A166" s="215" t="s">
        <v>506</v>
      </c>
      <c r="B166" s="215" t="s">
        <v>29</v>
      </c>
      <c r="C166" s="102" t="s">
        <v>170</v>
      </c>
      <c r="D166" s="215" t="s">
        <v>167</v>
      </c>
      <c r="E166" s="64" t="s">
        <v>195</v>
      </c>
      <c r="F166" s="100" t="s">
        <v>338</v>
      </c>
      <c r="G166" s="217">
        <f t="shared" ca="1" si="14"/>
        <v>38962.695059121397</v>
      </c>
      <c r="H166" s="140">
        <f t="shared" ca="1" si="15"/>
        <v>40302.958329176618</v>
      </c>
      <c r="I166" s="140">
        <f t="shared" si="16"/>
        <v>3558.2369917005844</v>
      </c>
    </row>
    <row r="167" spans="1:9">
      <c r="A167" s="215" t="s">
        <v>506</v>
      </c>
      <c r="B167" s="215" t="s">
        <v>29</v>
      </c>
      <c r="C167" s="102" t="s">
        <v>170</v>
      </c>
      <c r="D167" s="215" t="s">
        <v>167</v>
      </c>
      <c r="E167" s="64" t="s">
        <v>195</v>
      </c>
      <c r="F167" s="100" t="s">
        <v>339</v>
      </c>
      <c r="G167" s="217">
        <f t="shared" ca="1" si="14"/>
        <v>7788.9058924453884</v>
      </c>
      <c r="H167" s="140">
        <f t="shared" ca="1" si="15"/>
        <v>8056.6652810718379</v>
      </c>
      <c r="I167" s="140">
        <f t="shared" si="16"/>
        <v>670.30171191440525</v>
      </c>
    </row>
    <row r="168" spans="1:9">
      <c r="A168" s="215" t="s">
        <v>506</v>
      </c>
      <c r="B168" s="215" t="s">
        <v>29</v>
      </c>
      <c r="C168" s="102" t="s">
        <v>170</v>
      </c>
      <c r="D168" s="215" t="s">
        <v>167</v>
      </c>
      <c r="E168" s="64" t="s">
        <v>195</v>
      </c>
      <c r="F168" s="100" t="s">
        <v>340</v>
      </c>
      <c r="G168" s="217">
        <f t="shared" ca="1" si="14"/>
        <v>28750.096584891337</v>
      </c>
      <c r="H168" s="140">
        <f t="shared" ca="1" si="15"/>
        <v>29739.412582926951</v>
      </c>
      <c r="I168" s="140">
        <f t="shared" si="16"/>
        <v>2337.4062264139297</v>
      </c>
    </row>
    <row r="169" spans="1:9">
      <c r="A169" s="215" t="s">
        <v>506</v>
      </c>
      <c r="B169" s="215" t="s">
        <v>29</v>
      </c>
      <c r="C169" s="102" t="s">
        <v>170</v>
      </c>
      <c r="D169" s="215" t="s">
        <v>167</v>
      </c>
      <c r="E169" s="64" t="s">
        <v>195</v>
      </c>
      <c r="F169" s="100" t="s">
        <v>341</v>
      </c>
      <c r="G169" s="217">
        <f t="shared" ca="1" si="14"/>
        <v>39198.602941670193</v>
      </c>
      <c r="H169" s="140">
        <f t="shared" ca="1" si="15"/>
        <v>40551.115583051469</v>
      </c>
      <c r="I169" s="140">
        <f t="shared" si="16"/>
        <v>2940.6303782198192</v>
      </c>
    </row>
    <row r="170" spans="1:9">
      <c r="A170" s="215" t="s">
        <v>506</v>
      </c>
      <c r="B170" s="215" t="s">
        <v>29</v>
      </c>
      <c r="C170" s="102" t="s">
        <v>170</v>
      </c>
      <c r="D170" s="215" t="s">
        <v>167</v>
      </c>
      <c r="E170" s="64" t="s">
        <v>195</v>
      </c>
      <c r="F170" s="100" t="s">
        <v>342</v>
      </c>
      <c r="G170" s="217">
        <f t="shared" ca="1" si="14"/>
        <v>20081.874275329854</v>
      </c>
      <c r="H170" s="140">
        <f t="shared" ca="1" si="15"/>
        <v>20775.003982860217</v>
      </c>
      <c r="I170" s="140">
        <f t="shared" si="16"/>
        <v>1226.7485812663319</v>
      </c>
    </row>
    <row r="171" spans="1:9">
      <c r="A171" s="215" t="s">
        <v>506</v>
      </c>
      <c r="B171" s="215" t="s">
        <v>29</v>
      </c>
      <c r="C171" s="102" t="s">
        <v>170</v>
      </c>
      <c r="D171" s="215" t="s">
        <v>167</v>
      </c>
      <c r="E171" s="64" t="s">
        <v>195</v>
      </c>
      <c r="F171" s="100" t="s">
        <v>343</v>
      </c>
      <c r="G171" s="217">
        <f t="shared" ca="1" si="14"/>
        <v>134490.22631481488</v>
      </c>
      <c r="H171" s="140">
        <f t="shared" ca="1" si="15"/>
        <v>139127.18267857304</v>
      </c>
      <c r="I171" s="140">
        <f t="shared" si="16"/>
        <v>26579.096109647213</v>
      </c>
    </row>
    <row r="172" spans="1:9">
      <c r="A172" s="215" t="s">
        <v>506</v>
      </c>
      <c r="B172" s="215" t="s">
        <v>29</v>
      </c>
      <c r="C172" s="102" t="s">
        <v>170</v>
      </c>
      <c r="D172" s="215" t="s">
        <v>167</v>
      </c>
      <c r="E172" s="64" t="s">
        <v>195</v>
      </c>
      <c r="F172" s="100" t="s">
        <v>344</v>
      </c>
      <c r="G172" s="217">
        <f t="shared" ca="1" si="14"/>
        <v>117097.73703925159</v>
      </c>
      <c r="H172" s="140">
        <f t="shared" ca="1" si="15"/>
        <v>121088.60243713997</v>
      </c>
      <c r="I172" s="140">
        <f t="shared" si="16"/>
        <v>20543.462638465189</v>
      </c>
    </row>
    <row r="173" spans="1:9">
      <c r="A173" s="215" t="s">
        <v>506</v>
      </c>
      <c r="B173" s="215" t="s">
        <v>29</v>
      </c>
      <c r="C173" s="102" t="s">
        <v>170</v>
      </c>
      <c r="D173" s="215" t="s">
        <v>167</v>
      </c>
      <c r="E173" s="64" t="s">
        <v>195</v>
      </c>
      <c r="F173" s="100" t="s">
        <v>345</v>
      </c>
      <c r="G173" s="217">
        <f t="shared" ca="1" si="14"/>
        <v>6248.3812071867687</v>
      </c>
      <c r="H173" s="140">
        <f t="shared" ca="1" si="15"/>
        <v>6460.0064832728976</v>
      </c>
      <c r="I173" s="140">
        <f t="shared" si="16"/>
        <v>983.99704050185335</v>
      </c>
    </row>
    <row r="174" spans="1:9">
      <c r="A174" s="215" t="s">
        <v>506</v>
      </c>
      <c r="B174" s="215" t="s">
        <v>29</v>
      </c>
      <c r="C174" s="102" t="s">
        <v>170</v>
      </c>
      <c r="D174" s="215" t="s">
        <v>167</v>
      </c>
      <c r="E174" s="64" t="s">
        <v>195</v>
      </c>
      <c r="F174" s="100" t="s">
        <v>346</v>
      </c>
      <c r="G174" s="217">
        <f t="shared" ca="1" si="14"/>
        <v>130237.15290619781</v>
      </c>
      <c r="H174" s="140">
        <f t="shared" ca="1" si="15"/>
        <v>134806.13926097177</v>
      </c>
      <c r="I174" s="140">
        <f t="shared" si="16"/>
        <v>18658.617894870746</v>
      </c>
    </row>
    <row r="175" spans="1:9">
      <c r="A175" s="215" t="s">
        <v>506</v>
      </c>
      <c r="B175" s="215" t="s">
        <v>29</v>
      </c>
      <c r="C175" s="102" t="s">
        <v>170</v>
      </c>
      <c r="D175" s="215" t="s">
        <v>167</v>
      </c>
      <c r="E175" s="64" t="s">
        <v>195</v>
      </c>
      <c r="F175" s="100" t="s">
        <v>347</v>
      </c>
      <c r="G175" s="217">
        <f t="shared" ca="1" si="14"/>
        <v>18861.476601263981</v>
      </c>
      <c r="H175" s="140">
        <f t="shared" ca="1" si="15"/>
        <v>19507.222456568867</v>
      </c>
      <c r="I175" s="140">
        <f t="shared" si="16"/>
        <v>2440.0357828284577</v>
      </c>
    </row>
    <row r="176" spans="1:9">
      <c r="A176" s="215" t="s">
        <v>506</v>
      </c>
      <c r="B176" s="215" t="s">
        <v>29</v>
      </c>
      <c r="C176" s="102" t="s">
        <v>170</v>
      </c>
      <c r="D176" s="215" t="s">
        <v>167</v>
      </c>
      <c r="E176" s="64" t="s">
        <v>195</v>
      </c>
      <c r="F176" s="100" t="s">
        <v>348</v>
      </c>
      <c r="G176" s="217">
        <f t="shared" ca="1" si="14"/>
        <v>29597.736812879168</v>
      </c>
      <c r="H176" s="140">
        <f t="shared" ca="1" si="15"/>
        <v>30607.308011489371</v>
      </c>
      <c r="I176" s="140">
        <f t="shared" si="16"/>
        <v>3095.9975745689503</v>
      </c>
    </row>
    <row r="177" spans="1:9">
      <c r="A177" s="215" t="s">
        <v>506</v>
      </c>
      <c r="B177" s="215" t="s">
        <v>29</v>
      </c>
      <c r="C177" s="102" t="s">
        <v>170</v>
      </c>
      <c r="D177" s="215" t="s">
        <v>167</v>
      </c>
      <c r="E177" s="64" t="s">
        <v>195</v>
      </c>
      <c r="F177" s="90" t="s">
        <v>168</v>
      </c>
      <c r="G177" s="217">
        <f t="shared" si="14"/>
        <v>-33281.311721933365</v>
      </c>
      <c r="H177" s="140">
        <f t="shared" si="15"/>
        <v>-33281.311721933365</v>
      </c>
      <c r="I177" s="140">
        <f t="shared" si="16"/>
        <v>0</v>
      </c>
    </row>
    <row r="178" spans="1:9">
      <c r="A178" s="215" t="s">
        <v>506</v>
      </c>
      <c r="B178" s="215" t="s">
        <v>29</v>
      </c>
      <c r="C178" s="100" t="s">
        <v>227</v>
      </c>
      <c r="D178" s="102" t="s">
        <v>167</v>
      </c>
      <c r="E178" s="102" t="s">
        <v>195</v>
      </c>
      <c r="F178" s="100" t="s">
        <v>6</v>
      </c>
      <c r="G178" s="217">
        <f t="shared" ca="1" si="14"/>
        <v>133429.1479765882</v>
      </c>
      <c r="H178" s="140">
        <f t="shared" ca="1" si="15"/>
        <v>138043.10600951558</v>
      </c>
      <c r="I178" s="140">
        <f t="shared" si="16"/>
        <v>2111889.0151406806</v>
      </c>
    </row>
    <row r="179" spans="1:9">
      <c r="A179" s="215" t="s">
        <v>506</v>
      </c>
      <c r="B179" s="215" t="s">
        <v>29</v>
      </c>
      <c r="C179" s="100" t="s">
        <v>227</v>
      </c>
      <c r="D179" s="102" t="s">
        <v>167</v>
      </c>
      <c r="E179" s="102" t="s">
        <v>195</v>
      </c>
      <c r="F179" s="90" t="s">
        <v>168</v>
      </c>
      <c r="G179" s="217">
        <f t="shared" si="14"/>
        <v>-7718.6882780666365</v>
      </c>
      <c r="H179" s="140">
        <f t="shared" si="15"/>
        <v>-7718.6882780666365</v>
      </c>
      <c r="I179" s="140">
        <f t="shared" si="16"/>
        <v>0</v>
      </c>
    </row>
    <row r="180" spans="1:9">
      <c r="A180" s="215" t="s">
        <v>506</v>
      </c>
      <c r="B180" s="215" t="s">
        <v>29</v>
      </c>
      <c r="C180" s="100" t="s">
        <v>171</v>
      </c>
      <c r="D180" s="102" t="s">
        <v>5</v>
      </c>
      <c r="E180" s="100" t="s">
        <v>199</v>
      </c>
      <c r="F180" s="102" t="s">
        <v>335</v>
      </c>
      <c r="G180" s="217">
        <f t="shared" ca="1" si="14"/>
        <v>1129.2604694167853</v>
      </c>
      <c r="H180" s="140">
        <f t="shared" ca="1" si="15"/>
        <v>1168.5030374754622</v>
      </c>
      <c r="I180" s="140">
        <f t="shared" si="16"/>
        <v>138.90042674253201</v>
      </c>
    </row>
    <row r="181" spans="1:9">
      <c r="A181" s="215" t="s">
        <v>506</v>
      </c>
      <c r="B181" s="215" t="s">
        <v>29</v>
      </c>
      <c r="C181" s="100" t="s">
        <v>171</v>
      </c>
      <c r="D181" s="102" t="s">
        <v>5</v>
      </c>
      <c r="E181" s="100" t="s">
        <v>200</v>
      </c>
      <c r="F181" s="102" t="s">
        <v>335</v>
      </c>
      <c r="G181" s="217">
        <f t="shared" ca="1" si="14"/>
        <v>2457.84</v>
      </c>
      <c r="H181" s="140">
        <f t="shared" ca="1" si="15"/>
        <v>2542.0995052472349</v>
      </c>
      <c r="I181" s="140">
        <f t="shared" si="16"/>
        <v>168</v>
      </c>
    </row>
    <row r="182" spans="1:9">
      <c r="A182" s="215" t="s">
        <v>506</v>
      </c>
      <c r="B182" s="215" t="s">
        <v>29</v>
      </c>
      <c r="C182" s="100" t="s">
        <v>171</v>
      </c>
      <c r="D182" s="102" t="s">
        <v>5</v>
      </c>
      <c r="E182" s="102" t="s">
        <v>195</v>
      </c>
      <c r="F182" s="100" t="s">
        <v>6</v>
      </c>
      <c r="G182" s="217">
        <f t="shared" ca="1" si="14"/>
        <v>20663.097409836675</v>
      </c>
      <c r="H182" s="140">
        <f t="shared" ca="1" si="15"/>
        <v>21375.981736228096</v>
      </c>
      <c r="I182" s="140">
        <f t="shared" si="16"/>
        <v>312414.5359818064</v>
      </c>
    </row>
    <row r="183" spans="1:9">
      <c r="A183" s="216" t="s">
        <v>506</v>
      </c>
      <c r="B183" s="216" t="s">
        <v>29</v>
      </c>
      <c r="C183" s="150" t="s">
        <v>171</v>
      </c>
      <c r="D183" s="150" t="s">
        <v>5</v>
      </c>
      <c r="E183" s="150" t="s">
        <v>195</v>
      </c>
      <c r="F183" s="265" t="s">
        <v>168</v>
      </c>
      <c r="G183" s="218">
        <f t="shared" si="14"/>
        <v>299.67134569970966</v>
      </c>
      <c r="H183" s="140">
        <f t="shared" si="15"/>
        <v>299.67134569970966</v>
      </c>
      <c r="I183" s="140">
        <f t="shared" si="16"/>
        <v>0</v>
      </c>
    </row>
    <row r="185" spans="1:9">
      <c r="H185" s="561" t="s">
        <v>215</v>
      </c>
      <c r="I185" s="441"/>
    </row>
    <row r="186" spans="1:9">
      <c r="H186" s="562" t="s">
        <v>501</v>
      </c>
      <c r="I186" s="560">
        <f ca="1">SUM(H102:H132)-G82</f>
        <v>0</v>
      </c>
    </row>
    <row r="187" spans="1:9">
      <c r="H187" s="563" t="s">
        <v>503</v>
      </c>
      <c r="I187" s="548">
        <f ca="1">SUM(H153:H183)-G133</f>
        <v>0</v>
      </c>
    </row>
  </sheetData>
  <phoneticPr fontId="24" type="noConversion"/>
  <printOptions horizontalCentered="1"/>
  <pageMargins left="0.2" right="0.2" top="0.2" bottom="0.2" header="0" footer="0"/>
  <pageSetup fitToHeight="0" orientation="landscape" r:id="rId1"/>
  <rowBreaks count="6" manualBreakCount="6">
    <brk id="31" max="6" man="1"/>
    <brk id="50" max="6" man="1"/>
    <brk id="81" max="6" man="1"/>
    <brk id="101" max="6" man="1"/>
    <brk id="132" max="6" man="1"/>
    <brk id="152" max="6" man="1"/>
  </rowBreaks>
  <ignoredErrors>
    <ignoredError sqref="G54:G7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9112-C604-4C53-80C3-E821868F2034}">
  <dimension ref="B2:AG130"/>
  <sheetViews>
    <sheetView showGridLines="0" zoomScale="70" zoomScaleNormal="70" workbookViewId="0">
      <pane ySplit="7" topLeftCell="A8" activePane="bottomLeft" state="frozen"/>
      <selection activeCell="A43" sqref="A43"/>
      <selection pane="bottomLeft" activeCell="A8" sqref="A8"/>
    </sheetView>
  </sheetViews>
  <sheetFormatPr defaultColWidth="9" defaultRowHeight="15.75"/>
  <cols>
    <col min="1" max="1" width="0.875" style="281" customWidth="1"/>
    <col min="2" max="2" width="17.25" style="281" bestFit="1" customWidth="1"/>
    <col min="3" max="3" width="30.625" style="281" bestFit="1" customWidth="1"/>
    <col min="4" max="29" width="14.25" style="281" customWidth="1"/>
    <col min="30" max="30" width="0.875" style="281" customWidth="1"/>
    <col min="31" max="31" width="14.25" style="281" customWidth="1"/>
    <col min="32" max="32" width="0.875" style="281" customWidth="1"/>
    <col min="33" max="33" width="14.25" style="281" customWidth="1"/>
    <col min="34" max="16384" width="9" style="281"/>
  </cols>
  <sheetData>
    <row r="2" spans="2:33">
      <c r="B2" s="370" t="s">
        <v>531</v>
      </c>
      <c r="C2" s="365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80"/>
      <c r="T2" s="280"/>
      <c r="U2" s="279"/>
      <c r="V2" s="279"/>
      <c r="W2" s="279"/>
      <c r="X2" s="279"/>
      <c r="Y2" s="279"/>
      <c r="Z2" s="279"/>
      <c r="AA2" s="279"/>
      <c r="AB2" s="280"/>
      <c r="AC2" s="280"/>
      <c r="AD2" s="362"/>
      <c r="AE2" s="282"/>
      <c r="AG2" s="282"/>
    </row>
    <row r="3" spans="2:33">
      <c r="B3" s="282"/>
      <c r="C3" s="372"/>
      <c r="D3" s="359"/>
      <c r="E3" s="359"/>
      <c r="F3" s="359"/>
      <c r="G3" s="359"/>
      <c r="H3" s="359"/>
      <c r="I3" s="359"/>
      <c r="J3" s="359"/>
      <c r="K3" s="373"/>
      <c r="L3" s="359"/>
      <c r="M3" s="359"/>
      <c r="N3" s="359"/>
      <c r="O3" s="359"/>
      <c r="P3" s="359"/>
      <c r="Q3" s="359"/>
      <c r="R3" s="359"/>
      <c r="S3" s="373"/>
      <c r="T3" s="651"/>
      <c r="U3" s="359"/>
      <c r="V3" s="359"/>
      <c r="W3" s="359"/>
      <c r="X3" s="359"/>
      <c r="Y3" s="359"/>
      <c r="Z3" s="359"/>
      <c r="AA3" s="359"/>
      <c r="AB3" s="373"/>
      <c r="AC3" s="652" t="s">
        <v>503</v>
      </c>
      <c r="AD3" s="362"/>
      <c r="AE3" s="291"/>
      <c r="AG3" s="291"/>
    </row>
    <row r="4" spans="2:33">
      <c r="B4" s="291"/>
      <c r="C4" s="376"/>
      <c r="D4" s="359"/>
      <c r="E4" s="359"/>
      <c r="F4" s="359"/>
      <c r="G4" s="378"/>
      <c r="H4" s="360"/>
      <c r="I4" s="359"/>
      <c r="J4" s="359"/>
      <c r="K4" s="373"/>
      <c r="L4" s="359"/>
      <c r="M4" s="359"/>
      <c r="N4" s="359"/>
      <c r="O4" s="359"/>
      <c r="P4" s="359"/>
      <c r="Q4" s="359"/>
      <c r="R4" s="359"/>
      <c r="S4" s="373"/>
      <c r="T4" s="652" t="s">
        <v>501</v>
      </c>
      <c r="U4" s="360"/>
      <c r="V4" s="359"/>
      <c r="W4" s="359"/>
      <c r="X4" s="359"/>
      <c r="Y4" s="359"/>
      <c r="Z4" s="359"/>
      <c r="AA4" s="359"/>
      <c r="AB4" s="373"/>
      <c r="AC4" s="652" t="s">
        <v>499</v>
      </c>
      <c r="AD4" s="362"/>
      <c r="AE4" s="291"/>
      <c r="AG4" s="291"/>
    </row>
    <row r="5" spans="2:33">
      <c r="B5" s="291"/>
      <c r="C5" s="291"/>
      <c r="D5" s="301"/>
      <c r="E5" s="301"/>
      <c r="F5" s="301"/>
      <c r="G5" s="301"/>
      <c r="H5" s="301"/>
      <c r="I5" s="301"/>
      <c r="J5" s="301"/>
      <c r="K5" s="299"/>
      <c r="L5" s="301"/>
      <c r="M5" s="301"/>
      <c r="N5" s="301"/>
      <c r="O5" s="301"/>
      <c r="P5" s="301"/>
      <c r="Q5" s="301"/>
      <c r="R5" s="301"/>
      <c r="S5" s="299"/>
      <c r="T5" s="652" t="s">
        <v>499</v>
      </c>
      <c r="U5" s="301"/>
      <c r="V5" s="359"/>
      <c r="W5" s="359"/>
      <c r="X5" s="359"/>
      <c r="Y5" s="359"/>
      <c r="Z5" s="359"/>
      <c r="AA5" s="359"/>
      <c r="AB5" s="373"/>
      <c r="AC5" s="652" t="s">
        <v>498</v>
      </c>
      <c r="AE5" s="606"/>
      <c r="AF5" s="362"/>
      <c r="AG5" s="606" t="s">
        <v>493</v>
      </c>
    </row>
    <row r="6" spans="2:33">
      <c r="B6" s="291"/>
      <c r="C6" s="291"/>
      <c r="D6" s="371" t="s">
        <v>497</v>
      </c>
      <c r="E6" s="364"/>
      <c r="F6" s="364"/>
      <c r="G6" s="364"/>
      <c r="H6" s="364"/>
      <c r="I6" s="364"/>
      <c r="J6" s="364"/>
      <c r="K6" s="366"/>
      <c r="L6" s="371" t="s">
        <v>500</v>
      </c>
      <c r="M6" s="364"/>
      <c r="N6" s="364"/>
      <c r="O6" s="364"/>
      <c r="P6" s="364"/>
      <c r="Q6" s="364"/>
      <c r="R6" s="364"/>
      <c r="S6" s="366"/>
      <c r="T6" s="652" t="s">
        <v>498</v>
      </c>
      <c r="U6" s="371" t="s">
        <v>502</v>
      </c>
      <c r="V6" s="364"/>
      <c r="W6" s="364"/>
      <c r="X6" s="364"/>
      <c r="Y6" s="364"/>
      <c r="Z6" s="364"/>
      <c r="AA6" s="364"/>
      <c r="AB6" s="366"/>
      <c r="AC6" s="652" t="s">
        <v>501</v>
      </c>
      <c r="AE6" s="606" t="s">
        <v>215</v>
      </c>
      <c r="AF6" s="362"/>
      <c r="AG6" s="429" t="s">
        <v>495</v>
      </c>
    </row>
    <row r="7" spans="2:33">
      <c r="B7" s="291"/>
      <c r="C7" s="310"/>
      <c r="D7" s="519" t="s">
        <v>443</v>
      </c>
      <c r="E7" s="520" t="s">
        <v>444</v>
      </c>
      <c r="F7" s="520" t="s">
        <v>566</v>
      </c>
      <c r="G7" s="520" t="s">
        <v>427</v>
      </c>
      <c r="H7" s="520" t="s">
        <v>445</v>
      </c>
      <c r="I7" s="520" t="s">
        <v>428</v>
      </c>
      <c r="J7" s="520" t="s">
        <v>504</v>
      </c>
      <c r="K7" s="521" t="s">
        <v>446</v>
      </c>
      <c r="L7" s="284" t="str">
        <f>D7</f>
        <v>Sch.16,17,19</v>
      </c>
      <c r="M7" s="284" t="str">
        <f t="shared" ref="M7:S7" si="0">E7</f>
        <v>Sch.24</v>
      </c>
      <c r="N7" s="284" t="str">
        <f t="shared" si="0"/>
        <v>Sch.29,36</v>
      </c>
      <c r="O7" s="284" t="str">
        <f t="shared" si="0"/>
        <v>Sch.48T</v>
      </c>
      <c r="P7" s="284" t="str">
        <f t="shared" si="0"/>
        <v>Sch.48T-DF</v>
      </c>
      <c r="Q7" s="284" t="str">
        <f t="shared" si="0"/>
        <v>Sch.40</v>
      </c>
      <c r="R7" s="284" t="str">
        <f t="shared" si="0"/>
        <v>Sch.15,51-54</v>
      </c>
      <c r="S7" s="284" t="str">
        <f t="shared" si="0"/>
        <v>Sch.47T</v>
      </c>
      <c r="T7" s="430" t="s">
        <v>497</v>
      </c>
      <c r="U7" s="368" t="str">
        <f>D7</f>
        <v>Sch.16,17,19</v>
      </c>
      <c r="V7" s="368" t="str">
        <f t="shared" ref="V7:AB7" si="1">E7</f>
        <v>Sch.24</v>
      </c>
      <c r="W7" s="368" t="str">
        <f t="shared" si="1"/>
        <v>Sch.29,36</v>
      </c>
      <c r="X7" s="368" t="str">
        <f t="shared" si="1"/>
        <v>Sch.48T</v>
      </c>
      <c r="Y7" s="368" t="str">
        <f t="shared" si="1"/>
        <v>Sch.48T-DF</v>
      </c>
      <c r="Z7" s="368" t="str">
        <f t="shared" si="1"/>
        <v>Sch.40</v>
      </c>
      <c r="AA7" s="368" t="str">
        <f t="shared" si="1"/>
        <v>Sch.15,51-54</v>
      </c>
      <c r="AB7" s="368" t="str">
        <f t="shared" si="1"/>
        <v>Sch.47T</v>
      </c>
      <c r="AC7" s="430" t="s">
        <v>499</v>
      </c>
      <c r="AE7" s="430" t="s">
        <v>507</v>
      </c>
      <c r="AF7" s="362"/>
      <c r="AG7" s="397" t="s">
        <v>496</v>
      </c>
    </row>
    <row r="8" spans="2:33">
      <c r="B8" s="282"/>
      <c r="C8" s="292"/>
      <c r="D8" s="286"/>
      <c r="E8" s="287"/>
      <c r="F8" s="286"/>
      <c r="G8" s="287"/>
      <c r="H8" s="287"/>
      <c r="I8" s="287"/>
      <c r="J8" s="287"/>
      <c r="K8" s="286"/>
      <c r="L8" s="363"/>
      <c r="M8" s="356"/>
      <c r="N8" s="363"/>
      <c r="O8" s="356"/>
      <c r="P8" s="356"/>
      <c r="Q8" s="356"/>
      <c r="R8" s="356"/>
      <c r="S8" s="369"/>
      <c r="T8" s="363"/>
      <c r="U8" s="286"/>
      <c r="V8" s="286"/>
      <c r="W8" s="286"/>
      <c r="X8" s="286"/>
      <c r="Y8" s="286"/>
      <c r="Z8" s="286"/>
      <c r="AA8" s="286"/>
      <c r="AB8" s="288"/>
      <c r="AC8" s="286"/>
      <c r="AE8" s="291"/>
      <c r="AG8" s="291"/>
    </row>
    <row r="9" spans="2:33">
      <c r="B9" s="291" t="s">
        <v>426</v>
      </c>
      <c r="C9" s="289"/>
      <c r="D9" s="290">
        <v>0.44020888594614305</v>
      </c>
      <c r="E9" s="290">
        <v>0.1340264964619067</v>
      </c>
      <c r="F9" s="290">
        <v>0.20194605545646696</v>
      </c>
      <c r="G9" s="290">
        <v>8.0303187099115464E-2</v>
      </c>
      <c r="H9" s="290">
        <v>0.10332073688508948</v>
      </c>
      <c r="I9" s="290">
        <v>3.7909288068277945E-2</v>
      </c>
      <c r="J9" s="290">
        <v>2.2853500830004995E-3</v>
      </c>
      <c r="K9" s="290"/>
      <c r="L9" s="290">
        <v>0.4426418430365322</v>
      </c>
      <c r="M9" s="290">
        <v>0.13422743336783119</v>
      </c>
      <c r="N9" s="290">
        <v>0.20079979949466489</v>
      </c>
      <c r="O9" s="290">
        <v>7.9773428265308005E-2</v>
      </c>
      <c r="P9" s="290">
        <v>0.10216212213700318</v>
      </c>
      <c r="Q9" s="290">
        <v>3.8066847395859207E-2</v>
      </c>
      <c r="R9" s="290">
        <v>2.3285263028015426E-3</v>
      </c>
      <c r="S9" s="291"/>
      <c r="T9" s="291"/>
      <c r="U9" s="327"/>
      <c r="V9" s="327"/>
      <c r="W9" s="327"/>
      <c r="X9" s="327"/>
      <c r="Y9" s="327"/>
      <c r="Z9" s="327"/>
      <c r="AA9" s="327"/>
      <c r="AB9" s="327"/>
      <c r="AC9" s="291"/>
      <c r="AE9" s="291"/>
      <c r="AG9" s="291"/>
    </row>
    <row r="10" spans="2:33">
      <c r="B10" s="291" t="s">
        <v>426</v>
      </c>
      <c r="C10" s="292" t="s">
        <v>195</v>
      </c>
      <c r="D10" s="290">
        <v>178121171.67881858</v>
      </c>
      <c r="E10" s="290">
        <v>54230973.857993789</v>
      </c>
      <c r="F10" s="290">
        <v>81713180.17924425</v>
      </c>
      <c r="G10" s="290">
        <v>32492978.293463629</v>
      </c>
      <c r="H10" s="290">
        <v>41806540.713361792</v>
      </c>
      <c r="I10" s="290">
        <v>15339187.880586414</v>
      </c>
      <c r="J10" s="290">
        <v>924718.34957492596</v>
      </c>
      <c r="K10" s="290"/>
      <c r="L10" s="290">
        <v>190952127.84991863</v>
      </c>
      <c r="M10" s="290">
        <v>57904634.233382113</v>
      </c>
      <c r="N10" s="290">
        <v>86623417.077582374</v>
      </c>
      <c r="O10" s="290">
        <v>34413614.78310626</v>
      </c>
      <c r="P10" s="290">
        <v>44071917.091927506</v>
      </c>
      <c r="Q10" s="290">
        <v>16421731.531100478</v>
      </c>
      <c r="R10" s="290">
        <v>1004507.5025538459</v>
      </c>
      <c r="S10" s="291"/>
      <c r="T10" s="291">
        <f>SUM(L10:S10)-SUM(D10:K10)</f>
        <v>26763199.116527855</v>
      </c>
      <c r="U10" s="327">
        <f>L10*(1+$AC10/SUM($L10:$R10))</f>
        <v>203323001.19371256</v>
      </c>
      <c r="V10" s="327">
        <f t="shared" ref="V10:Z10" si="2">M10*(1+$AC10/SUM($L10:$R10))</f>
        <v>61655998.013328537</v>
      </c>
      <c r="W10" s="327">
        <f t="shared" si="2"/>
        <v>92235333.181055441</v>
      </c>
      <c r="X10" s="327">
        <f t="shared" si="2"/>
        <v>36643107.979005739</v>
      </c>
      <c r="Y10" s="327">
        <f t="shared" si="2"/>
        <v>46927125.4129939</v>
      </c>
      <c r="Z10" s="327">
        <f t="shared" si="2"/>
        <v>17485616.826040477</v>
      </c>
      <c r="AA10" s="327">
        <f>R10*(1+$AC10/SUM($L10:$R10))</f>
        <v>1069584.7301653195</v>
      </c>
      <c r="AB10" s="327"/>
      <c r="AC10" s="290">
        <v>27947817.266730789</v>
      </c>
      <c r="AE10" s="291"/>
      <c r="AG10" s="291"/>
    </row>
    <row r="11" spans="2:33">
      <c r="B11" s="291" t="s">
        <v>426</v>
      </c>
      <c r="C11" s="289"/>
      <c r="D11" s="290">
        <v>13.260873747325867</v>
      </c>
      <c r="E11" s="290">
        <v>24.431821231437556</v>
      </c>
      <c r="F11" s="290">
        <v>34.877641188977108</v>
      </c>
      <c r="G11" s="290">
        <v>41.860380332086038</v>
      </c>
      <c r="H11" s="290">
        <v>51.303368893230328</v>
      </c>
      <c r="I11" s="290">
        <v>21.812835486295143</v>
      </c>
      <c r="J11" s="290">
        <v>45.812139179783877</v>
      </c>
      <c r="K11" s="290"/>
      <c r="L11" s="290">
        <v>14.216120606746021</v>
      </c>
      <c r="M11" s="290">
        <v>26.086857222336938</v>
      </c>
      <c r="N11" s="290">
        <v>36.973477874288413</v>
      </c>
      <c r="O11" s="290">
        <v>44.334717193730278</v>
      </c>
      <c r="P11" s="290">
        <v>54.083351117265941</v>
      </c>
      <c r="Q11" s="290">
        <v>23.352248572517404</v>
      </c>
      <c r="R11" s="290">
        <v>49.765031196026037</v>
      </c>
      <c r="S11" s="291"/>
      <c r="T11" s="291"/>
      <c r="U11" s="327"/>
      <c r="V11" s="327"/>
      <c r="W11" s="327"/>
      <c r="X11" s="327"/>
      <c r="Y11" s="327"/>
      <c r="Z11" s="327"/>
      <c r="AA11" s="327"/>
      <c r="AB11" s="327"/>
      <c r="AC11" s="291"/>
      <c r="AE11" s="291"/>
      <c r="AG11" s="291"/>
    </row>
    <row r="12" spans="2:33">
      <c r="B12" s="291" t="s">
        <v>426</v>
      </c>
      <c r="C12" s="289"/>
      <c r="D12" s="290">
        <v>0.10917853445004772</v>
      </c>
      <c r="E12" s="290">
        <v>9.9004121728399189E-2</v>
      </c>
      <c r="F12" s="290">
        <v>8.7618975867630608E-2</v>
      </c>
      <c r="G12" s="290">
        <v>8.6257696163785882E-2</v>
      </c>
      <c r="H12" s="290">
        <v>7.6826453014961701E-2</v>
      </c>
      <c r="I12" s="290">
        <v>0.10036010617950153</v>
      </c>
      <c r="J12" s="290">
        <v>0.1329971145031815</v>
      </c>
      <c r="K12" s="290"/>
      <c r="L12" s="290">
        <v>0.11704320868921951</v>
      </c>
      <c r="M12" s="290">
        <v>0.10571075989326281</v>
      </c>
      <c r="N12" s="290">
        <v>9.2884098671027746E-2</v>
      </c>
      <c r="O12" s="290">
        <v>9.1356326312995714E-2</v>
      </c>
      <c r="P12" s="290">
        <v>8.0989457868732281E-2</v>
      </c>
      <c r="Q12" s="290">
        <v>0.10744289286647073</v>
      </c>
      <c r="R12" s="290">
        <v>0.14447274610466024</v>
      </c>
      <c r="S12" s="291"/>
      <c r="T12" s="291"/>
      <c r="U12" s="327"/>
      <c r="V12" s="327"/>
      <c r="W12" s="327"/>
      <c r="X12" s="327"/>
      <c r="Y12" s="327"/>
      <c r="Z12" s="327"/>
      <c r="AA12" s="327"/>
      <c r="AB12" s="327"/>
      <c r="AC12" s="291"/>
      <c r="AE12" s="291"/>
      <c r="AG12" s="291"/>
    </row>
    <row r="13" spans="2:33">
      <c r="B13" s="295" t="s">
        <v>426</v>
      </c>
      <c r="C13" s="293"/>
      <c r="D13" s="294">
        <v>1608.4381693005391</v>
      </c>
      <c r="E13" s="294">
        <v>2605.4752212001313</v>
      </c>
      <c r="F13" s="294">
        <v>76326.83765007701</v>
      </c>
      <c r="G13" s="294">
        <v>489024.756925038</v>
      </c>
      <c r="H13" s="294">
        <v>41806540.713361792</v>
      </c>
      <c r="I13" s="294">
        <v>2983.7765496089428</v>
      </c>
      <c r="J13" s="294">
        <v>343.44334239156518</v>
      </c>
      <c r="K13" s="294"/>
      <c r="L13" s="294">
        <v>1724.3019908760725</v>
      </c>
      <c r="M13" s="294">
        <v>2781.9727169715111</v>
      </c>
      <c r="N13" s="294">
        <v>80913.403167913377</v>
      </c>
      <c r="O13" s="294">
        <v>517930.65727083012</v>
      </c>
      <c r="P13" s="294">
        <v>44071917.091927506</v>
      </c>
      <c r="Q13" s="294">
        <v>3194.3527798160167</v>
      </c>
      <c r="R13" s="294">
        <v>373.07728812030388</v>
      </c>
      <c r="S13" s="295"/>
      <c r="T13" s="295"/>
      <c r="U13" s="310"/>
      <c r="V13" s="310"/>
      <c r="W13" s="310"/>
      <c r="X13" s="310"/>
      <c r="Y13" s="310"/>
      <c r="Z13" s="310"/>
      <c r="AA13" s="310"/>
      <c r="AB13" s="310"/>
      <c r="AC13" s="295"/>
      <c r="AE13" s="291"/>
      <c r="AG13" s="291"/>
    </row>
    <row r="14" spans="2:33">
      <c r="B14" s="282"/>
      <c r="C14" s="296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82"/>
      <c r="T14" s="282"/>
      <c r="U14" s="309"/>
      <c r="V14" s="309"/>
      <c r="W14" s="309"/>
      <c r="X14" s="309"/>
      <c r="Y14" s="309"/>
      <c r="Z14" s="309"/>
      <c r="AA14" s="309"/>
      <c r="AB14" s="309"/>
      <c r="AC14" s="282"/>
      <c r="AE14" s="291"/>
      <c r="AG14" s="291"/>
    </row>
    <row r="15" spans="2:33">
      <c r="B15" s="291" t="s">
        <v>426</v>
      </c>
      <c r="C15" s="289"/>
      <c r="D15" s="290">
        <v>0.39943498250628168</v>
      </c>
      <c r="E15" s="290">
        <v>0.12931257949042158</v>
      </c>
      <c r="F15" s="290">
        <v>0.22054964512919098</v>
      </c>
      <c r="G15" s="290">
        <v>8.8499869980162765E-2</v>
      </c>
      <c r="H15" s="290">
        <v>0.12393706445638683</v>
      </c>
      <c r="I15" s="290">
        <v>3.6885572424169732E-2</v>
      </c>
      <c r="J15" s="290">
        <v>1.3802860133864817E-3</v>
      </c>
      <c r="K15" s="290"/>
      <c r="L15" s="290">
        <v>0.40052858454624074</v>
      </c>
      <c r="M15" s="290">
        <v>0.1291846545093901</v>
      </c>
      <c r="N15" s="290">
        <v>0.22014331496884162</v>
      </c>
      <c r="O15" s="290">
        <v>8.8308626449130484E-2</v>
      </c>
      <c r="P15" s="290">
        <v>0.12355165866356431</v>
      </c>
      <c r="Q15" s="290">
        <v>3.6909967239171525E-2</v>
      </c>
      <c r="R15" s="290">
        <v>1.373193623661185E-3</v>
      </c>
      <c r="S15" s="291"/>
      <c r="T15" s="291"/>
      <c r="U15" s="327"/>
      <c r="V15" s="327"/>
      <c r="W15" s="327"/>
      <c r="X15" s="327"/>
      <c r="Y15" s="327"/>
      <c r="Z15" s="327"/>
      <c r="AA15" s="327"/>
      <c r="AB15" s="327"/>
      <c r="AC15" s="291"/>
      <c r="AE15" s="291"/>
      <c r="AG15" s="291"/>
    </row>
    <row r="16" spans="2:33">
      <c r="B16" s="291" t="s">
        <v>426</v>
      </c>
      <c r="C16" s="292" t="s">
        <v>429</v>
      </c>
      <c r="D16" s="290">
        <v>99102148.89560385</v>
      </c>
      <c r="E16" s="290">
        <v>32083205.19731351</v>
      </c>
      <c r="F16" s="290">
        <v>54719653.329617783</v>
      </c>
      <c r="G16" s="290">
        <v>21957333.92449607</v>
      </c>
      <c r="H16" s="290">
        <v>30749508.564257368</v>
      </c>
      <c r="I16" s="290">
        <v>9151525.656424351</v>
      </c>
      <c r="J16" s="290">
        <v>342457.01054738078</v>
      </c>
      <c r="K16" s="290"/>
      <c r="L16" s="290">
        <v>102175766.24031158</v>
      </c>
      <c r="M16" s="290">
        <v>32955303.492110625</v>
      </c>
      <c r="N16" s="290">
        <v>56159067.685784131</v>
      </c>
      <c r="O16" s="290">
        <v>22527734.402006589</v>
      </c>
      <c r="P16" s="290">
        <v>31518313.252255987</v>
      </c>
      <c r="Q16" s="290">
        <v>9415817.8219406307</v>
      </c>
      <c r="R16" s="290">
        <v>350304.86239289434</v>
      </c>
      <c r="S16" s="291"/>
      <c r="T16" s="291"/>
      <c r="U16" s="327"/>
      <c r="V16" s="327"/>
      <c r="W16" s="327"/>
      <c r="X16" s="327"/>
      <c r="Y16" s="327"/>
      <c r="Z16" s="327"/>
      <c r="AA16" s="327"/>
      <c r="AB16" s="327"/>
      <c r="AC16" s="291"/>
      <c r="AE16" s="291"/>
      <c r="AG16" s="291"/>
    </row>
    <row r="17" spans="2:33">
      <c r="B17" s="291" t="s">
        <v>426</v>
      </c>
      <c r="C17" s="289"/>
      <c r="D17" s="290">
        <v>7.3780172913019815</v>
      </c>
      <c r="E17" s="290">
        <v>14.45393800164535</v>
      </c>
      <c r="F17" s="290">
        <v>23.355992639488488</v>
      </c>
      <c r="G17" s="290">
        <v>28.287414617912013</v>
      </c>
      <c r="H17" s="290">
        <v>37.734606935642468</v>
      </c>
      <c r="I17" s="290">
        <v>13.013773945936052</v>
      </c>
      <c r="J17" s="290">
        <v>16.96590993084661</v>
      </c>
      <c r="K17" s="290"/>
      <c r="L17" s="290">
        <v>7.6068438320865601</v>
      </c>
      <c r="M17" s="290">
        <v>14.846830625895798</v>
      </c>
      <c r="N17" s="290">
        <v>23.970377948278422</v>
      </c>
      <c r="O17" s="290">
        <v>29.022255872368426</v>
      </c>
      <c r="P17" s="290">
        <v>38.678054296802195</v>
      </c>
      <c r="Q17" s="290">
        <v>13.389606198047623</v>
      </c>
      <c r="R17" s="290">
        <v>17.354706023380363</v>
      </c>
      <c r="S17" s="291"/>
      <c r="T17" s="291"/>
      <c r="U17" s="327"/>
      <c r="V17" s="327"/>
      <c r="W17" s="327"/>
      <c r="X17" s="327"/>
      <c r="Y17" s="327"/>
      <c r="Z17" s="327"/>
      <c r="AA17" s="327"/>
      <c r="AB17" s="327"/>
      <c r="AC17" s="291"/>
      <c r="AE17" s="291"/>
      <c r="AG17" s="291"/>
    </row>
    <row r="18" spans="2:33">
      <c r="B18" s="291" t="s">
        <v>426</v>
      </c>
      <c r="C18" s="289"/>
      <c r="D18" s="290">
        <v>6.0744196073346919E-2</v>
      </c>
      <c r="E18" s="290">
        <v>5.8571132451161599E-2</v>
      </c>
      <c r="F18" s="290">
        <v>5.8674499928357049E-2</v>
      </c>
      <c r="G18" s="290">
        <v>5.828917931499588E-2</v>
      </c>
      <c r="H18" s="290">
        <v>5.6507322410199845E-2</v>
      </c>
      <c r="I18" s="290">
        <v>5.9875926530998859E-2</v>
      </c>
      <c r="J18" s="290">
        <v>4.925369358694321E-2</v>
      </c>
      <c r="K18" s="290"/>
      <c r="L18" s="290">
        <v>6.2628155369103905E-2</v>
      </c>
      <c r="M18" s="290">
        <v>6.0163235996329556E-2</v>
      </c>
      <c r="N18" s="290">
        <v>6.0217947527138618E-2</v>
      </c>
      <c r="O18" s="290">
        <v>5.9803396652551487E-2</v>
      </c>
      <c r="P18" s="290">
        <v>5.7920128546090695E-2</v>
      </c>
      <c r="Q18" s="290">
        <v>6.1605117802408613E-2</v>
      </c>
      <c r="R18" s="290">
        <v>5.0382406617220543E-2</v>
      </c>
      <c r="S18" s="291"/>
      <c r="T18" s="291"/>
      <c r="U18" s="327"/>
      <c r="V18" s="327"/>
      <c r="W18" s="327"/>
      <c r="X18" s="327"/>
      <c r="Y18" s="327"/>
      <c r="Z18" s="327"/>
      <c r="AA18" s="327"/>
      <c r="AB18" s="327"/>
      <c r="AC18" s="291"/>
      <c r="AE18" s="291"/>
      <c r="AG18" s="291"/>
    </row>
    <row r="19" spans="2:33">
      <c r="B19" s="295" t="s">
        <v>426</v>
      </c>
      <c r="C19" s="293"/>
      <c r="D19" s="294">
        <v>894.89462392947883</v>
      </c>
      <c r="E19" s="294">
        <v>1541.4068789760067</v>
      </c>
      <c r="F19" s="294">
        <v>51112.661223031369</v>
      </c>
      <c r="G19" s="294">
        <v>330461.54735863657</v>
      </c>
      <c r="H19" s="294">
        <v>30749508.564257368</v>
      </c>
      <c r="I19" s="294">
        <v>1780.1534122509006</v>
      </c>
      <c r="J19" s="294">
        <v>127.18962523224606</v>
      </c>
      <c r="K19" s="294"/>
      <c r="L19" s="294">
        <v>922.64945738614631</v>
      </c>
      <c r="M19" s="294">
        <v>1583.3060066496996</v>
      </c>
      <c r="N19" s="294">
        <v>52457.192737204474</v>
      </c>
      <c r="O19" s="294">
        <v>339046.16992986511</v>
      </c>
      <c r="P19" s="294">
        <v>31518313.252255987</v>
      </c>
      <c r="Q19" s="294">
        <v>1831.5634850560518</v>
      </c>
      <c r="R19" s="294">
        <v>130.10434242116739</v>
      </c>
      <c r="S19" s="295"/>
      <c r="T19" s="295"/>
      <c r="U19" s="310"/>
      <c r="V19" s="310"/>
      <c r="W19" s="310"/>
      <c r="X19" s="310"/>
      <c r="Y19" s="310"/>
      <c r="Z19" s="310"/>
      <c r="AA19" s="310"/>
      <c r="AB19" s="310"/>
      <c r="AC19" s="295"/>
      <c r="AE19" s="291"/>
      <c r="AG19" s="291"/>
    </row>
    <row r="20" spans="2:33">
      <c r="B20" s="282"/>
      <c r="C20" s="296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82"/>
      <c r="T20" s="282"/>
      <c r="U20" s="309"/>
      <c r="V20" s="309"/>
      <c r="W20" s="309"/>
      <c r="X20" s="309"/>
      <c r="Y20" s="309"/>
      <c r="Z20" s="309"/>
      <c r="AA20" s="309"/>
      <c r="AB20" s="309"/>
      <c r="AC20" s="282"/>
      <c r="AE20" s="291"/>
      <c r="AG20" s="291"/>
    </row>
    <row r="21" spans="2:33">
      <c r="B21" s="291" t="s">
        <v>426</v>
      </c>
      <c r="C21" s="289"/>
      <c r="D21" s="290">
        <v>0.44889731064364491</v>
      </c>
      <c r="E21" s="290">
        <v>0.12081710740416875</v>
      </c>
      <c r="F21" s="290">
        <v>0.2048411887386708</v>
      </c>
      <c r="G21" s="290">
        <v>8.0592939665443314E-2</v>
      </c>
      <c r="H21" s="290">
        <v>0.10624545589953294</v>
      </c>
      <c r="I21" s="290">
        <v>3.8371572105538529E-2</v>
      </c>
      <c r="J21" s="290">
        <v>2.3442554300087939E-4</v>
      </c>
      <c r="K21" s="290"/>
      <c r="L21" s="290">
        <v>0.44988415013694588</v>
      </c>
      <c r="M21" s="290">
        <v>0.1209604709955462</v>
      </c>
      <c r="N21" s="290">
        <v>0.20421962017001744</v>
      </c>
      <c r="O21" s="290">
        <v>8.0349428304894235E-2</v>
      </c>
      <c r="P21" s="290">
        <v>0.10592245024851728</v>
      </c>
      <c r="Q21" s="290">
        <v>3.8357065822521026E-2</v>
      </c>
      <c r="R21" s="290">
        <v>3.0681432155793537E-4</v>
      </c>
      <c r="S21" s="291"/>
      <c r="T21" s="291"/>
      <c r="U21" s="327"/>
      <c r="V21" s="327"/>
      <c r="W21" s="327"/>
      <c r="X21" s="327"/>
      <c r="Y21" s="327"/>
      <c r="Z21" s="327"/>
      <c r="AA21" s="327"/>
      <c r="AB21" s="327"/>
      <c r="AC21" s="291"/>
      <c r="AE21" s="291"/>
      <c r="AG21" s="291"/>
    </row>
    <row r="22" spans="2:33">
      <c r="B22" s="291" t="s">
        <v>426</v>
      </c>
      <c r="C22" s="227" t="s">
        <v>439</v>
      </c>
      <c r="D22" s="290">
        <v>19429677.200133171</v>
      </c>
      <c r="E22" s="290">
        <v>5229341.6366228145</v>
      </c>
      <c r="F22" s="290">
        <v>8866166.2258062214</v>
      </c>
      <c r="G22" s="290">
        <v>3488314.0646668985</v>
      </c>
      <c r="H22" s="290">
        <v>4598635.0623242129</v>
      </c>
      <c r="I22" s="290">
        <v>1660841.4485781966</v>
      </c>
      <c r="J22" s="290">
        <v>10146.669449728208</v>
      </c>
      <c r="K22" s="290"/>
      <c r="L22" s="290">
        <v>21799060.518397648</v>
      </c>
      <c r="M22" s="290">
        <v>5861119.1942706555</v>
      </c>
      <c r="N22" s="290">
        <v>9895427.2067047767</v>
      </c>
      <c r="O22" s="290">
        <v>3893317.9790927698</v>
      </c>
      <c r="P22" s="290">
        <v>5132454.4385960773</v>
      </c>
      <c r="Q22" s="290">
        <v>1858585.1466844792</v>
      </c>
      <c r="R22" s="290">
        <v>14866.636136251131</v>
      </c>
      <c r="S22" s="291"/>
      <c r="T22" s="291"/>
      <c r="U22" s="327">
        <f>U$10*L22/L$10</f>
        <v>23211317.190911658</v>
      </c>
      <c r="V22" s="327">
        <f t="shared" ref="V22:AA22" si="3">V$10*M22/M$10</f>
        <v>6240833.0210900651</v>
      </c>
      <c r="W22" s="327">
        <f t="shared" si="3"/>
        <v>10536504.517731607</v>
      </c>
      <c r="X22" s="327">
        <f t="shared" si="3"/>
        <v>4145547.3946472658</v>
      </c>
      <c r="Y22" s="327">
        <f t="shared" si="3"/>
        <v>5464961.5675690947</v>
      </c>
      <c r="Z22" s="327">
        <f t="shared" si="3"/>
        <v>1978993.9722219533</v>
      </c>
      <c r="AA22" s="327">
        <f t="shared" si="3"/>
        <v>15829.774252388708</v>
      </c>
      <c r="AB22" s="327"/>
      <c r="AC22" s="291"/>
      <c r="AE22" s="291"/>
      <c r="AG22" s="291"/>
    </row>
    <row r="23" spans="2:33">
      <c r="B23" s="291" t="s">
        <v>426</v>
      </c>
      <c r="C23" s="289"/>
      <c r="D23" s="290">
        <v>1.4465124716721203</v>
      </c>
      <c r="E23" s="290">
        <v>2.355892415995203</v>
      </c>
      <c r="F23" s="290">
        <v>3.7843462176747309</v>
      </c>
      <c r="G23" s="290">
        <v>4.4939602687666067</v>
      </c>
      <c r="H23" s="290">
        <v>5.6432669860282934</v>
      </c>
      <c r="I23" s="290">
        <v>2.3617717944837726</v>
      </c>
      <c r="J23" s="290">
        <v>0.50268347465570185</v>
      </c>
      <c r="K23" s="290"/>
      <c r="L23" s="290">
        <v>1.6229097676610598</v>
      </c>
      <c r="M23" s="290">
        <v>2.6405171470004913</v>
      </c>
      <c r="N23" s="290">
        <v>4.2236657387464716</v>
      </c>
      <c r="O23" s="290">
        <v>5.015722778215026</v>
      </c>
      <c r="P23" s="290">
        <v>6.298349466327279</v>
      </c>
      <c r="Q23" s="290">
        <v>2.6429699119345029</v>
      </c>
      <c r="R23" s="290">
        <v>0.73651875094964459</v>
      </c>
      <c r="S23" s="291"/>
      <c r="T23" s="291"/>
      <c r="U23" s="327"/>
      <c r="V23" s="327"/>
      <c r="W23" s="327"/>
      <c r="X23" s="327"/>
      <c r="Y23" s="327"/>
      <c r="Z23" s="327"/>
      <c r="AA23" s="327"/>
      <c r="AB23" s="327"/>
      <c r="AC23" s="291"/>
      <c r="AE23" s="291"/>
      <c r="AG23" s="291"/>
    </row>
    <row r="24" spans="2:33">
      <c r="B24" s="291" t="s">
        <v>426</v>
      </c>
      <c r="C24" s="289"/>
      <c r="D24" s="290">
        <v>1.1909329259146697E-2</v>
      </c>
      <c r="E24" s="290">
        <v>9.5466914775914E-3</v>
      </c>
      <c r="F24" s="290">
        <v>9.5069657413069455E-3</v>
      </c>
      <c r="G24" s="290">
        <v>9.2602756200537914E-3</v>
      </c>
      <c r="H24" s="290">
        <v>8.4507547029761629E-3</v>
      </c>
      <c r="I24" s="290">
        <v>1.0866430832207312E-2</v>
      </c>
      <c r="J24" s="290">
        <v>1.4593392239396605E-3</v>
      </c>
      <c r="K24" s="290"/>
      <c r="L24" s="290">
        <v>1.3361631620513145E-2</v>
      </c>
      <c r="M24" s="290">
        <v>1.0700065237509927E-2</v>
      </c>
      <c r="N24" s="290">
        <v>1.0610616252142791E-2</v>
      </c>
      <c r="O24" s="290">
        <v>1.033542189566369E-2</v>
      </c>
      <c r="P24" s="290">
        <v>9.4317363515371705E-3</v>
      </c>
      <c r="Q24" s="290">
        <v>1.2160213703423772E-2</v>
      </c>
      <c r="R24" s="290">
        <v>2.1381858696748204E-3</v>
      </c>
      <c r="S24" s="291"/>
      <c r="T24" s="291"/>
      <c r="U24" s="327"/>
      <c r="V24" s="327"/>
      <c r="W24" s="327"/>
      <c r="X24" s="327"/>
      <c r="Y24" s="327"/>
      <c r="Z24" s="327"/>
      <c r="AA24" s="327"/>
      <c r="AB24" s="327"/>
      <c r="AC24" s="291"/>
      <c r="AE24" s="291"/>
      <c r="AG24" s="291"/>
    </row>
    <row r="25" spans="2:33">
      <c r="B25" s="295" t="s">
        <v>426</v>
      </c>
      <c r="C25" s="293"/>
      <c r="D25" s="294">
        <v>175.45042024669607</v>
      </c>
      <c r="E25" s="294">
        <v>251.23871264212113</v>
      </c>
      <c r="F25" s="294">
        <v>8281.7291973125411</v>
      </c>
      <c r="G25" s="294">
        <v>52499.71000334798</v>
      </c>
      <c r="H25" s="294">
        <v>4598635.0623242129</v>
      </c>
      <c r="I25" s="294">
        <v>323.06663204497625</v>
      </c>
      <c r="J25" s="294">
        <v>3.7685053741595294</v>
      </c>
      <c r="K25" s="294"/>
      <c r="L25" s="294">
        <v>196.84600467319208</v>
      </c>
      <c r="M25" s="294">
        <v>281.59186056957901</v>
      </c>
      <c r="N25" s="294">
        <v>9243.1436914770693</v>
      </c>
      <c r="O25" s="294">
        <v>58595.086641864444</v>
      </c>
      <c r="P25" s="294">
        <v>5132454.4385960773</v>
      </c>
      <c r="Q25" s="294">
        <v>361.53170684787511</v>
      </c>
      <c r="R25" s="294">
        <v>5.5215160455076573</v>
      </c>
      <c r="S25" s="295"/>
      <c r="T25" s="295"/>
      <c r="U25" s="310"/>
      <c r="V25" s="310"/>
      <c r="W25" s="310"/>
      <c r="X25" s="310"/>
      <c r="Y25" s="310"/>
      <c r="Z25" s="310"/>
      <c r="AA25" s="310"/>
      <c r="AB25" s="310"/>
      <c r="AC25" s="295"/>
      <c r="AE25" s="291"/>
      <c r="AG25" s="291"/>
    </row>
    <row r="26" spans="2:33">
      <c r="B26" s="282"/>
      <c r="C26" s="296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82"/>
      <c r="T26" s="282"/>
      <c r="U26" s="309"/>
      <c r="V26" s="309"/>
      <c r="W26" s="309"/>
      <c r="X26" s="309"/>
      <c r="Y26" s="309"/>
      <c r="Z26" s="309"/>
      <c r="AA26" s="309"/>
      <c r="AB26" s="309"/>
      <c r="AC26" s="282"/>
      <c r="AE26" s="291"/>
      <c r="AG26" s="291"/>
    </row>
    <row r="27" spans="2:33">
      <c r="B27" s="291" t="s">
        <v>426</v>
      </c>
      <c r="C27" s="289"/>
      <c r="D27" s="290">
        <v>0.3889826064218232</v>
      </c>
      <c r="E27" s="290">
        <v>0.131107842119668</v>
      </c>
      <c r="F27" s="290">
        <v>0.22386915514990927</v>
      </c>
      <c r="G27" s="290">
        <v>9.0170761999105647E-2</v>
      </c>
      <c r="H27" s="290">
        <v>0.12767565406870182</v>
      </c>
      <c r="I27" s="290">
        <v>3.6571551064562134E-2</v>
      </c>
      <c r="J27" s="290">
        <v>1.622429176229994E-3</v>
      </c>
      <c r="K27" s="290"/>
      <c r="L27" s="290">
        <v>0.38895566028679868</v>
      </c>
      <c r="M27" s="290">
        <v>0.13111306626523456</v>
      </c>
      <c r="N27" s="290">
        <v>0.22387711300421401</v>
      </c>
      <c r="O27" s="290">
        <v>9.0174904267786168E-2</v>
      </c>
      <c r="P27" s="290">
        <v>0.12768536661117785</v>
      </c>
      <c r="Q27" s="290">
        <v>3.6570650647402933E-2</v>
      </c>
      <c r="R27" s="290">
        <v>1.6232389173859072E-3</v>
      </c>
      <c r="S27" s="291"/>
      <c r="T27" s="291"/>
      <c r="U27" s="327"/>
      <c r="V27" s="327"/>
      <c r="W27" s="327"/>
      <c r="X27" s="327"/>
      <c r="Y27" s="327"/>
      <c r="Z27" s="327"/>
      <c r="AA27" s="327"/>
      <c r="AB27" s="327"/>
      <c r="AC27" s="291"/>
      <c r="AE27" s="291"/>
      <c r="AG27" s="291"/>
    </row>
    <row r="28" spans="2:33">
      <c r="B28" s="291" t="s">
        <v>426</v>
      </c>
      <c r="C28" s="227" t="s">
        <v>440</v>
      </c>
      <c r="D28" s="290">
        <v>79672471.695470676</v>
      </c>
      <c r="E28" s="290">
        <v>26853863.560690694</v>
      </c>
      <c r="F28" s="290">
        <v>45853487.103811562</v>
      </c>
      <c r="G28" s="290">
        <v>18469019.859829172</v>
      </c>
      <c r="H28" s="290">
        <v>26150873.501933157</v>
      </c>
      <c r="I28" s="290">
        <v>7490684.2078461535</v>
      </c>
      <c r="J28" s="290">
        <v>332310.34109765256</v>
      </c>
      <c r="K28" s="290"/>
      <c r="L28" s="290">
        <v>80376705.721913934</v>
      </c>
      <c r="M28" s="290">
        <v>27094184.297839969</v>
      </c>
      <c r="N28" s="290">
        <v>46263640.479079358</v>
      </c>
      <c r="O28" s="290">
        <v>18634416.42291382</v>
      </c>
      <c r="P28" s="290">
        <v>26385858.81365991</v>
      </c>
      <c r="Q28" s="290">
        <v>7557232.6752561517</v>
      </c>
      <c r="R28" s="290">
        <v>335438.22625664319</v>
      </c>
      <c r="S28" s="291"/>
      <c r="T28" s="291"/>
      <c r="U28" s="327">
        <f>U$10*L28/L$10</f>
        <v>85583927.330141842</v>
      </c>
      <c r="V28" s="327">
        <f t="shared" ref="V28" si="4">V$10*M28/M$10</f>
        <v>28849486.666428532</v>
      </c>
      <c r="W28" s="327">
        <f t="shared" ref="W28" si="5">W$10*N28/N$10</f>
        <v>49260840.055924773</v>
      </c>
      <c r="X28" s="327">
        <f t="shared" ref="X28" si="6">X$10*O28/O$10</f>
        <v>19841650.969074853</v>
      </c>
      <c r="Y28" s="327">
        <f>Y$10*P28/P$10</f>
        <v>28095272.168338869</v>
      </c>
      <c r="Z28" s="327">
        <f t="shared" ref="Z28" si="7">Z$10*Q28/Q$10</f>
        <v>8046829.5669370554</v>
      </c>
      <c r="AA28" s="327">
        <f t="shared" ref="AA28" si="8">AA$10*R28/R$10</f>
        <v>357169.66155622416</v>
      </c>
      <c r="AB28" s="327"/>
      <c r="AC28" s="291"/>
      <c r="AE28" s="291"/>
      <c r="AG28" s="291"/>
    </row>
    <row r="29" spans="2:33">
      <c r="B29" s="291" t="s">
        <v>426</v>
      </c>
      <c r="C29" s="289"/>
      <c r="D29" s="290">
        <v>5.9315048196298612</v>
      </c>
      <c r="E29" s="290">
        <v>12.098045585650146</v>
      </c>
      <c r="F29" s="290">
        <v>19.571646421813757</v>
      </c>
      <c r="G29" s="290">
        <v>23.793454349145406</v>
      </c>
      <c r="H29" s="290">
        <v>32.091339949614174</v>
      </c>
      <c r="I29" s="290">
        <v>10.652002151452278</v>
      </c>
      <c r="J29" s="290">
        <v>16.46322645619091</v>
      </c>
      <c r="K29" s="290"/>
      <c r="L29" s="290">
        <v>5.983934064425501</v>
      </c>
      <c r="M29" s="290">
        <v>12.206313478895307</v>
      </c>
      <c r="N29" s="290">
        <v>19.746712209531953</v>
      </c>
      <c r="O29" s="290">
        <v>24.006533094153401</v>
      </c>
      <c r="P29" s="290">
        <v>32.379704830474914</v>
      </c>
      <c r="Q29" s="290">
        <v>10.746636286113119</v>
      </c>
      <c r="R29" s="290">
        <v>16.618187272430717</v>
      </c>
      <c r="S29" s="291"/>
      <c r="T29" s="291"/>
      <c r="U29" s="327"/>
      <c r="V29" s="327"/>
      <c r="W29" s="327"/>
      <c r="X29" s="327"/>
      <c r="Y29" s="327"/>
      <c r="Z29" s="327"/>
      <c r="AA29" s="327"/>
      <c r="AB29" s="327"/>
      <c r="AC29" s="291"/>
      <c r="AE29" s="291"/>
      <c r="AG29" s="291"/>
    </row>
    <row r="30" spans="2:33">
      <c r="B30" s="291" t="s">
        <v>426</v>
      </c>
      <c r="C30" s="289"/>
      <c r="D30" s="290">
        <v>4.8834866814200219E-2</v>
      </c>
      <c r="E30" s="290">
        <v>4.9024440973570192E-2</v>
      </c>
      <c r="F30" s="290">
        <v>4.9167534187050103E-2</v>
      </c>
      <c r="G30" s="290">
        <v>4.9028903694942089E-2</v>
      </c>
      <c r="H30" s="290">
        <v>4.8056567707223684E-2</v>
      </c>
      <c r="I30" s="290">
        <v>4.9009495698791546E-2</v>
      </c>
      <c r="J30" s="290">
        <v>4.7794354363003548E-2</v>
      </c>
      <c r="K30" s="290"/>
      <c r="L30" s="290">
        <v>4.9266523748590765E-2</v>
      </c>
      <c r="M30" s="290">
        <v>4.9463170758819633E-2</v>
      </c>
      <c r="N30" s="290">
        <v>4.9607331274995836E-2</v>
      </c>
      <c r="O30" s="290">
        <v>4.94679747568878E-2</v>
      </c>
      <c r="P30" s="290">
        <v>4.8488392194553524E-2</v>
      </c>
      <c r="Q30" s="290">
        <v>4.9444904098984839E-2</v>
      </c>
      <c r="R30" s="290">
        <v>4.8244220747545724E-2</v>
      </c>
      <c r="S30" s="291"/>
      <c r="T30" s="291"/>
      <c r="U30" s="327"/>
      <c r="V30" s="327"/>
      <c r="W30" s="327"/>
      <c r="X30" s="327"/>
      <c r="Y30" s="327"/>
      <c r="Z30" s="327"/>
      <c r="AA30" s="327"/>
      <c r="AB30" s="327"/>
      <c r="AC30" s="291"/>
      <c r="AE30" s="291"/>
      <c r="AG30" s="291"/>
    </row>
    <row r="31" spans="2:33">
      <c r="B31" s="295" t="s">
        <v>426</v>
      </c>
      <c r="C31" s="293"/>
      <c r="D31" s="294">
        <v>719.4442036827827</v>
      </c>
      <c r="E31" s="294">
        <v>1290.1681663338857</v>
      </c>
      <c r="F31" s="294">
        <v>42830.932025718823</v>
      </c>
      <c r="G31" s="294">
        <v>277961.83735528862</v>
      </c>
      <c r="H31" s="294">
        <v>26150873.501933157</v>
      </c>
      <c r="I31" s="294">
        <v>1457.0867802059242</v>
      </c>
      <c r="J31" s="294">
        <v>123.42111985808653</v>
      </c>
      <c r="K31" s="294"/>
      <c r="L31" s="294">
        <v>725.80345271295425</v>
      </c>
      <c r="M31" s="294">
        <v>1301.7141460801204</v>
      </c>
      <c r="N31" s="294">
        <v>43214.049045727406</v>
      </c>
      <c r="O31" s="294">
        <v>280451.08328800072</v>
      </c>
      <c r="P31" s="294">
        <v>26385858.81365991</v>
      </c>
      <c r="Q31" s="294">
        <v>1470.0317782081768</v>
      </c>
      <c r="R31" s="294">
        <v>124.58282637565972</v>
      </c>
      <c r="S31" s="295"/>
      <c r="T31" s="295"/>
      <c r="U31" s="310"/>
      <c r="V31" s="310"/>
      <c r="W31" s="310"/>
      <c r="X31" s="310"/>
      <c r="Y31" s="310"/>
      <c r="Z31" s="310"/>
      <c r="AA31" s="310"/>
      <c r="AB31" s="310"/>
      <c r="AC31" s="295"/>
      <c r="AE31" s="291"/>
      <c r="AG31" s="291"/>
    </row>
    <row r="32" spans="2:33">
      <c r="B32" s="282"/>
      <c r="C32" s="296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82"/>
      <c r="T32" s="282"/>
      <c r="U32" s="309"/>
      <c r="V32" s="309"/>
      <c r="W32" s="309"/>
      <c r="X32" s="309"/>
      <c r="Y32" s="309"/>
      <c r="Z32" s="309"/>
      <c r="AA32" s="309"/>
      <c r="AB32" s="309"/>
      <c r="AC32" s="282"/>
      <c r="AE32" s="291"/>
      <c r="AG32" s="291"/>
    </row>
    <row r="33" spans="2:33">
      <c r="B33" s="291" t="s">
        <v>426</v>
      </c>
      <c r="C33" s="289"/>
      <c r="D33" s="290">
        <v>0.34605097286651781</v>
      </c>
      <c r="E33" s="290">
        <v>0.12684394942473762</v>
      </c>
      <c r="F33" s="290">
        <v>0.25427815276758325</v>
      </c>
      <c r="G33" s="290">
        <v>0.10263915942336757</v>
      </c>
      <c r="H33" s="290">
        <v>0.1349817773039397</v>
      </c>
      <c r="I33" s="290">
        <v>3.6941665059792309E-2</v>
      </c>
      <c r="J33" s="290">
        <v>-1.7356768459384688E-3</v>
      </c>
      <c r="K33" s="290"/>
      <c r="L33" s="290">
        <v>0.35793078617766189</v>
      </c>
      <c r="M33" s="290">
        <v>0.12741514283843056</v>
      </c>
      <c r="N33" s="290">
        <v>0.24764815817435032</v>
      </c>
      <c r="O33" s="290">
        <v>9.9893220547033201E-2</v>
      </c>
      <c r="P33" s="290">
        <v>0.13135504877641863</v>
      </c>
      <c r="Q33" s="290">
        <v>3.6931563159406412E-2</v>
      </c>
      <c r="R33" s="290">
        <v>-1.1739196733009465E-3</v>
      </c>
      <c r="S33" s="291"/>
      <c r="T33" s="291"/>
      <c r="U33" s="327"/>
      <c r="V33" s="327"/>
      <c r="W33" s="327"/>
      <c r="X33" s="327"/>
      <c r="Y33" s="327"/>
      <c r="Z33" s="327"/>
      <c r="AA33" s="327"/>
      <c r="AB33" s="327"/>
      <c r="AC33" s="291"/>
      <c r="AE33" s="291"/>
      <c r="AG33" s="291"/>
    </row>
    <row r="34" spans="2:33">
      <c r="B34" s="291" t="s">
        <v>426</v>
      </c>
      <c r="C34" s="292" t="s">
        <v>430</v>
      </c>
      <c r="D34" s="290">
        <v>20464795.32596251</v>
      </c>
      <c r="E34" s="290">
        <v>7501309.5377578558</v>
      </c>
      <c r="F34" s="290">
        <v>15037525.567829166</v>
      </c>
      <c r="G34" s="290">
        <v>6069884.36596095</v>
      </c>
      <c r="H34" s="290">
        <v>7982565.1763889352</v>
      </c>
      <c r="I34" s="290">
        <v>2184659.6996579557</v>
      </c>
      <c r="J34" s="290">
        <v>-102644.62229338726</v>
      </c>
      <c r="K34" s="290"/>
      <c r="L34" s="290">
        <v>25396938.2601953</v>
      </c>
      <c r="M34" s="290">
        <v>9040726.9814320859</v>
      </c>
      <c r="N34" s="290">
        <v>17571846.922056064</v>
      </c>
      <c r="O34" s="290">
        <v>7087912.1126670092</v>
      </c>
      <c r="P34" s="290">
        <v>9320282.5595554858</v>
      </c>
      <c r="Q34" s="290">
        <v>2620474.8673012704</v>
      </c>
      <c r="R34" s="290">
        <v>-83295.33702209781</v>
      </c>
      <c r="S34" s="291"/>
      <c r="T34" s="291"/>
      <c r="U34" s="327"/>
      <c r="V34" s="327"/>
      <c r="W34" s="327"/>
      <c r="X34" s="327"/>
      <c r="Y34" s="327"/>
      <c r="Z34" s="327"/>
      <c r="AA34" s="327"/>
      <c r="AB34" s="327"/>
      <c r="AC34" s="291"/>
      <c r="AE34" s="291"/>
      <c r="AG34" s="291"/>
    </row>
    <row r="35" spans="2:33">
      <c r="B35" s="291" t="s">
        <v>426</v>
      </c>
      <c r="C35" s="289"/>
      <c r="D35" s="290">
        <v>1.5235755779318447</v>
      </c>
      <c r="E35" s="290">
        <v>3.3794461096730397</v>
      </c>
      <c r="F35" s="290">
        <v>6.418467864967945</v>
      </c>
      <c r="G35" s="290">
        <v>7.819771577603313</v>
      </c>
      <c r="H35" s="290">
        <v>9.7958950673870291</v>
      </c>
      <c r="I35" s="290">
        <v>3.106658774451112</v>
      </c>
      <c r="J35" s="290">
        <v>-5.0851913176834733</v>
      </c>
      <c r="K35" s="290"/>
      <c r="L35" s="290">
        <v>1.8907667665939167</v>
      </c>
      <c r="M35" s="290">
        <v>4.0729754547829184</v>
      </c>
      <c r="N35" s="290">
        <v>7.5001923879444758</v>
      </c>
      <c r="O35" s="290">
        <v>9.131286584964295</v>
      </c>
      <c r="P35" s="290">
        <v>11.437490071719584</v>
      </c>
      <c r="Q35" s="290">
        <v>3.7264024419934603</v>
      </c>
      <c r="R35" s="290">
        <v>-4.1265944105439862</v>
      </c>
      <c r="S35" s="291"/>
      <c r="T35" s="291"/>
      <c r="U35" s="327"/>
      <c r="V35" s="327"/>
      <c r="W35" s="327"/>
      <c r="X35" s="327"/>
      <c r="Y35" s="327"/>
      <c r="Z35" s="327"/>
      <c r="AA35" s="327"/>
      <c r="AB35" s="327"/>
      <c r="AC35" s="291"/>
      <c r="AE35" s="291"/>
      <c r="AG35" s="291"/>
    </row>
    <row r="36" spans="2:33">
      <c r="B36" s="291" t="s">
        <v>426</v>
      </c>
      <c r="C36" s="289"/>
      <c r="D36" s="290">
        <v>1.2543800046058583E-2</v>
      </c>
      <c r="E36" s="290">
        <v>1.3694398417835355E-2</v>
      </c>
      <c r="F36" s="290">
        <v>1.6124358236288241E-2</v>
      </c>
      <c r="G36" s="290">
        <v>1.6113458011132741E-2</v>
      </c>
      <c r="H36" s="290">
        <v>1.4669287580321277E-2</v>
      </c>
      <c r="I36" s="290">
        <v>1.4293630218927102E-2</v>
      </c>
      <c r="J36" s="290">
        <v>-1.4762807065053623E-2</v>
      </c>
      <c r="K36" s="290"/>
      <c r="L36" s="290">
        <v>1.5566933860991424E-2</v>
      </c>
      <c r="M36" s="290">
        <v>1.6504760488474792E-2</v>
      </c>
      <c r="N36" s="290">
        <v>1.8841846909348488E-2</v>
      </c>
      <c r="O36" s="290">
        <v>1.881597199026341E-2</v>
      </c>
      <c r="P36" s="290">
        <v>1.7127565159176194E-2</v>
      </c>
      <c r="Q36" s="290">
        <v>1.714504952742104E-2</v>
      </c>
      <c r="R36" s="290">
        <v>-1.1979906617621877E-2</v>
      </c>
      <c r="S36" s="291"/>
      <c r="T36" s="291"/>
      <c r="U36" s="327"/>
      <c r="V36" s="327"/>
      <c r="W36" s="327"/>
      <c r="X36" s="327"/>
      <c r="Y36" s="327"/>
      <c r="Z36" s="327"/>
      <c r="AA36" s="327"/>
      <c r="AB36" s="327"/>
      <c r="AC36" s="291"/>
      <c r="AE36" s="291"/>
      <c r="AG36" s="291"/>
    </row>
    <row r="37" spans="2:33">
      <c r="B37" s="295" t="s">
        <v>426</v>
      </c>
      <c r="C37" s="293"/>
      <c r="D37" s="294">
        <v>184.79756010450521</v>
      </c>
      <c r="E37" s="294">
        <v>360.39323539271822</v>
      </c>
      <c r="F37" s="294">
        <v>14046.286904473216</v>
      </c>
      <c r="G37" s="294">
        <v>91352.77473854275</v>
      </c>
      <c r="H37" s="294">
        <v>7982565.1763889352</v>
      </c>
      <c r="I37" s="294">
        <v>424.95968049032865</v>
      </c>
      <c r="J37" s="294">
        <v>-38.122539879483938</v>
      </c>
      <c r="K37" s="294"/>
      <c r="L37" s="294">
        <v>229.33492125644366</v>
      </c>
      <c r="M37" s="294">
        <v>434.35307271887825</v>
      </c>
      <c r="N37" s="294">
        <v>16413.551697409694</v>
      </c>
      <c r="O37" s="294">
        <v>106674.26256522257</v>
      </c>
      <c r="P37" s="294">
        <v>9320282.5595554858</v>
      </c>
      <c r="Q37" s="294">
        <v>509.73438220865063</v>
      </c>
      <c r="R37" s="294">
        <v>-30.936153657652959</v>
      </c>
      <c r="S37" s="295"/>
      <c r="T37" s="295"/>
      <c r="U37" s="310"/>
      <c r="V37" s="310"/>
      <c r="W37" s="310"/>
      <c r="X37" s="310"/>
      <c r="Y37" s="310"/>
      <c r="Z37" s="310"/>
      <c r="AA37" s="310"/>
      <c r="AB37" s="310"/>
      <c r="AC37" s="295"/>
      <c r="AE37" s="291"/>
      <c r="AG37" s="291"/>
    </row>
    <row r="38" spans="2:33">
      <c r="B38" s="282"/>
      <c r="C38" s="296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82"/>
      <c r="T38" s="282"/>
      <c r="U38" s="309"/>
      <c r="V38" s="309"/>
      <c r="W38" s="309"/>
      <c r="X38" s="309"/>
      <c r="Y38" s="309"/>
      <c r="Z38" s="309"/>
      <c r="AA38" s="309"/>
      <c r="AB38" s="309"/>
      <c r="AC38" s="282"/>
      <c r="AE38" s="291"/>
      <c r="AG38" s="291"/>
    </row>
    <row r="39" spans="2:33">
      <c r="B39" s="291" t="s">
        <v>426</v>
      </c>
      <c r="C39" s="289"/>
      <c r="D39" s="290">
        <v>0.34605097160373166</v>
      </c>
      <c r="E39" s="290">
        <v>0.12684394936389737</v>
      </c>
      <c r="F39" s="290">
        <v>0.2542781534722578</v>
      </c>
      <c r="G39" s="290">
        <v>0.10263915971526855</v>
      </c>
      <c r="H39" s="290">
        <v>0.13498177768970543</v>
      </c>
      <c r="I39" s="290">
        <v>3.6941665060760409E-2</v>
      </c>
      <c r="J39" s="290">
        <v>-1.735676905621347E-3</v>
      </c>
      <c r="K39" s="290"/>
      <c r="L39" s="290">
        <v>0.35793078530024341</v>
      </c>
      <c r="M39" s="290">
        <v>0.12741514279613989</v>
      </c>
      <c r="N39" s="290">
        <v>0.24764815866396755</v>
      </c>
      <c r="O39" s="290">
        <v>9.9893220749856335E-2</v>
      </c>
      <c r="P39" s="290">
        <v>0.13135504904449477</v>
      </c>
      <c r="Q39" s="290">
        <v>3.6931563160064428E-2</v>
      </c>
      <c r="R39" s="290">
        <v>-1.1739197147660765E-3</v>
      </c>
      <c r="S39" s="291"/>
      <c r="T39" s="291"/>
      <c r="U39" s="327"/>
      <c r="V39" s="327"/>
      <c r="W39" s="327"/>
      <c r="X39" s="327"/>
      <c r="Y39" s="327"/>
      <c r="Z39" s="327"/>
      <c r="AA39" s="327"/>
      <c r="AB39" s="327"/>
      <c r="AC39" s="291"/>
      <c r="AE39" s="291"/>
      <c r="AG39" s="291"/>
    </row>
    <row r="40" spans="2:33">
      <c r="B40" s="291" t="s">
        <v>426</v>
      </c>
      <c r="C40" s="90" t="s">
        <v>441</v>
      </c>
      <c r="D40" s="290">
        <v>20464794.889449865</v>
      </c>
      <c r="E40" s="290">
        <v>7501309.4015307538</v>
      </c>
      <c r="F40" s="290">
        <v>15037525.343626849</v>
      </c>
      <c r="G40" s="290">
        <v>6069884.2759030284</v>
      </c>
      <c r="H40" s="290">
        <v>7982565.0580642764</v>
      </c>
      <c r="I40" s="290">
        <v>2184659.6610886841</v>
      </c>
      <c r="J40" s="290">
        <v>-102644.62400808027</v>
      </c>
      <c r="K40" s="290"/>
      <c r="L40" s="290">
        <v>25396937.823682655</v>
      </c>
      <c r="M40" s="290">
        <v>9040726.8452049829</v>
      </c>
      <c r="N40" s="290">
        <v>17571846.697853748</v>
      </c>
      <c r="O40" s="290">
        <v>7087912.0226090876</v>
      </c>
      <c r="P40" s="290">
        <v>9320282.4412308261</v>
      </c>
      <c r="Q40" s="290">
        <v>2620474.8287319988</v>
      </c>
      <c r="R40" s="290">
        <v>-83295.338736790814</v>
      </c>
      <c r="S40" s="291"/>
      <c r="T40" s="291"/>
      <c r="U40" s="327">
        <f>U$10*L40/L$10</f>
        <v>27042283.726211287</v>
      </c>
      <c r="V40" s="327">
        <f t="shared" ref="V40" si="9">V$10*M40/M$10</f>
        <v>9626432.2154314499</v>
      </c>
      <c r="W40" s="327">
        <f t="shared" ref="W40" si="10">W$10*N40/N$10</f>
        <v>18710242.443234306</v>
      </c>
      <c r="X40" s="327">
        <f t="shared" ref="X40" si="11">X$10*O40/O$10</f>
        <v>7547103.8781330399</v>
      </c>
      <c r="Y40" s="327">
        <f t="shared" ref="Y40" si="12">Y$10*P40/P$10</f>
        <v>9924098.8789270557</v>
      </c>
      <c r="Z40" s="327">
        <f t="shared" ref="Z40" si="13">Z$10*Q40/Q$10</f>
        <v>2790242.8358857217</v>
      </c>
      <c r="AA40" s="327">
        <f t="shared" ref="AA40" si="14">AA$10*R40/R$10</f>
        <v>-88691.644592314638</v>
      </c>
      <c r="AB40" s="327"/>
      <c r="AC40" s="291"/>
      <c r="AE40" s="291"/>
      <c r="AG40" s="291"/>
    </row>
    <row r="41" spans="2:33">
      <c r="B41" s="291" t="s">
        <v>426</v>
      </c>
      <c r="C41" s="289"/>
      <c r="D41" s="290">
        <v>1.5235755454340849</v>
      </c>
      <c r="E41" s="290">
        <v>3.3794460483008022</v>
      </c>
      <c r="F41" s="290">
        <v>6.4184677692716576</v>
      </c>
      <c r="G41" s="290">
        <v>7.8197714615825893</v>
      </c>
      <c r="H41" s="290">
        <v>9.7958949221835869</v>
      </c>
      <c r="I41" s="290">
        <v>3.1066587196043249</v>
      </c>
      <c r="J41" s="290">
        <v>-5.0851914026323168</v>
      </c>
      <c r="K41" s="290"/>
      <c r="L41" s="290">
        <v>1.8907667340961567</v>
      </c>
      <c r="M41" s="290">
        <v>4.0729753934106805</v>
      </c>
      <c r="N41" s="290">
        <v>7.5001922922481885</v>
      </c>
      <c r="O41" s="290">
        <v>9.1312864689435713</v>
      </c>
      <c r="P41" s="290">
        <v>11.43748992651614</v>
      </c>
      <c r="Q41" s="290">
        <v>3.7264023871466732</v>
      </c>
      <c r="R41" s="290">
        <v>-4.1265944954928306</v>
      </c>
      <c r="S41" s="291"/>
      <c r="T41" s="291"/>
      <c r="U41" s="327"/>
      <c r="V41" s="327"/>
      <c r="W41" s="327"/>
      <c r="X41" s="327"/>
      <c r="Y41" s="327"/>
      <c r="Z41" s="327"/>
      <c r="AA41" s="327"/>
      <c r="AB41" s="327"/>
      <c r="AC41" s="291"/>
      <c r="AE41" s="291"/>
      <c r="AG41" s="291"/>
    </row>
    <row r="42" spans="2:33">
      <c r="B42" s="291" t="s">
        <v>426</v>
      </c>
      <c r="C42" s="289"/>
      <c r="D42" s="290">
        <v>1.2543799778500212E-2</v>
      </c>
      <c r="E42" s="290">
        <v>1.3694398169139017E-2</v>
      </c>
      <c r="F42" s="290">
        <v>1.6124357995881768E-2</v>
      </c>
      <c r="G42" s="290">
        <v>1.6113457772059893E-2</v>
      </c>
      <c r="H42" s="290">
        <v>1.466928736288009E-2</v>
      </c>
      <c r="I42" s="290">
        <v>1.429362996657892E-2</v>
      </c>
      <c r="J42" s="290">
        <v>-1.4762807311668413E-2</v>
      </c>
      <c r="K42" s="290"/>
      <c r="L42" s="290">
        <v>1.5566933593433051E-2</v>
      </c>
      <c r="M42" s="290">
        <v>1.6504760239778451E-2</v>
      </c>
      <c r="N42" s="290">
        <v>1.8841846668942019E-2</v>
      </c>
      <c r="O42" s="290">
        <v>1.8815971751190562E-2</v>
      </c>
      <c r="P42" s="290">
        <v>1.7127564941735004E-2</v>
      </c>
      <c r="Q42" s="290">
        <v>1.7145049275072859E-2</v>
      </c>
      <c r="R42" s="290">
        <v>-1.1979906864236669E-2</v>
      </c>
      <c r="S42" s="291"/>
      <c r="T42" s="291"/>
      <c r="U42" s="327"/>
      <c r="V42" s="327"/>
      <c r="W42" s="327"/>
      <c r="X42" s="327"/>
      <c r="Y42" s="327"/>
      <c r="Z42" s="327"/>
      <c r="AA42" s="327"/>
      <c r="AB42" s="327"/>
      <c r="AC42" s="291"/>
      <c r="AE42" s="291"/>
      <c r="AG42" s="291"/>
    </row>
    <row r="43" spans="2:33">
      <c r="B43" s="295" t="s">
        <v>426</v>
      </c>
      <c r="C43" s="293"/>
      <c r="D43" s="294">
        <v>184.79755616278624</v>
      </c>
      <c r="E43" s="294">
        <v>360.39322884781757</v>
      </c>
      <c r="F43" s="294">
        <v>14046.286695049796</v>
      </c>
      <c r="G43" s="294">
        <v>91352.773383155974</v>
      </c>
      <c r="H43" s="294">
        <v>7982565.0580642764</v>
      </c>
      <c r="I43" s="294">
        <v>424.95967298783967</v>
      </c>
      <c r="J43" s="294">
        <v>-38.122540516326389</v>
      </c>
      <c r="K43" s="294"/>
      <c r="L43" s="294">
        <v>229.33491731472472</v>
      </c>
      <c r="M43" s="294">
        <v>434.35306617397748</v>
      </c>
      <c r="N43" s="294">
        <v>16413.551487986275</v>
      </c>
      <c r="O43" s="294">
        <v>106674.26120983579</v>
      </c>
      <c r="P43" s="294">
        <v>9320282.4412308261</v>
      </c>
      <c r="Q43" s="294">
        <v>509.73437470616165</v>
      </c>
      <c r="R43" s="294">
        <v>-30.936154294495406</v>
      </c>
      <c r="S43" s="295"/>
      <c r="T43" s="295"/>
      <c r="U43" s="310"/>
      <c r="V43" s="310"/>
      <c r="W43" s="310"/>
      <c r="X43" s="310"/>
      <c r="Y43" s="310"/>
      <c r="Z43" s="310"/>
      <c r="AA43" s="310"/>
      <c r="AB43" s="310"/>
      <c r="AC43" s="295"/>
      <c r="AE43" s="291"/>
      <c r="AG43" s="291"/>
    </row>
    <row r="44" spans="2:33">
      <c r="B44" s="282"/>
      <c r="C44" s="296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82"/>
      <c r="T44" s="282"/>
      <c r="U44" s="309"/>
      <c r="V44" s="309"/>
      <c r="W44" s="309"/>
      <c r="X44" s="309"/>
      <c r="Y44" s="309"/>
      <c r="Z44" s="309"/>
      <c r="AA44" s="309"/>
      <c r="AB44" s="309"/>
      <c r="AC44" s="282"/>
      <c r="AE44" s="291"/>
      <c r="AG44" s="291"/>
    </row>
    <row r="45" spans="2:33">
      <c r="B45" s="291" t="s">
        <v>426</v>
      </c>
      <c r="C45" s="289"/>
      <c r="D45" s="290">
        <v>0.4174723128176997</v>
      </c>
      <c r="E45" s="290">
        <v>0.13028498549618814</v>
      </c>
      <c r="F45" s="290">
        <v>0.21442279204883308</v>
      </c>
      <c r="G45" s="290">
        <v>8.6129667064164056E-2</v>
      </c>
      <c r="H45" s="290">
        <v>0.11316343231756731</v>
      </c>
      <c r="I45" s="290">
        <v>3.6886910784375254E-2</v>
      </c>
      <c r="J45" s="290">
        <v>1.6398994711726289E-3</v>
      </c>
      <c r="K45" s="290"/>
      <c r="L45" s="290">
        <v>0.4174723128176997</v>
      </c>
      <c r="M45" s="290">
        <v>0.13028498549618814</v>
      </c>
      <c r="N45" s="290">
        <v>0.21442279204883308</v>
      </c>
      <c r="O45" s="290">
        <v>8.6129667064164056E-2</v>
      </c>
      <c r="P45" s="290">
        <v>0.11316343231756731</v>
      </c>
      <c r="Q45" s="290">
        <v>3.6886910784375254E-2</v>
      </c>
      <c r="R45" s="290">
        <v>1.6398994711726289E-3</v>
      </c>
      <c r="S45" s="291"/>
      <c r="T45" s="291"/>
      <c r="U45" s="327"/>
      <c r="V45" s="327"/>
      <c r="W45" s="327"/>
      <c r="X45" s="327"/>
      <c r="Y45" s="327"/>
      <c r="Z45" s="327"/>
      <c r="AA45" s="327"/>
      <c r="AB45" s="327"/>
      <c r="AC45" s="291"/>
      <c r="AE45" s="291"/>
      <c r="AG45" s="291"/>
    </row>
    <row r="46" spans="2:33">
      <c r="B46" s="291" t="s">
        <v>426</v>
      </c>
      <c r="C46" s="90" t="s">
        <v>442</v>
      </c>
      <c r="D46" s="290">
        <v>0.43651264379727783</v>
      </c>
      <c r="E46" s="290">
        <v>0.13622710230095025</v>
      </c>
      <c r="F46" s="290">
        <v>0.22420231707318566</v>
      </c>
      <c r="G46" s="290">
        <v>9.0057921268601987E-2</v>
      </c>
      <c r="H46" s="290">
        <v>0.11832465891860533</v>
      </c>
      <c r="I46" s="290">
        <v>3.8569271431020992E-2</v>
      </c>
      <c r="J46" s="290">
        <v>1.7146930029726573E-3</v>
      </c>
      <c r="K46" s="290"/>
      <c r="L46" s="290">
        <v>0.43651264379727783</v>
      </c>
      <c r="M46" s="290">
        <v>0.13622710230095025</v>
      </c>
      <c r="N46" s="290">
        <v>0.22420231707318566</v>
      </c>
      <c r="O46" s="290">
        <v>9.0057921268601987E-2</v>
      </c>
      <c r="P46" s="290">
        <v>0.11832465891860533</v>
      </c>
      <c r="Q46" s="290">
        <v>3.8569271431020992E-2</v>
      </c>
      <c r="R46" s="290">
        <v>1.7146930029726573E-3</v>
      </c>
      <c r="S46" s="291"/>
      <c r="T46" s="327"/>
      <c r="U46" s="327">
        <f>U$10*L46/L$10</f>
        <v>0.46479220627287904</v>
      </c>
      <c r="V46" s="327">
        <f t="shared" ref="V46" si="15">V$10*M46/M$10</f>
        <v>0.145052603475159</v>
      </c>
      <c r="W46" s="327">
        <f t="shared" ref="W46" si="16">W$10*N46/N$10</f>
        <v>0.23872731084585228</v>
      </c>
      <c r="X46" s="327">
        <f t="shared" ref="X46" si="17">X$10*O46/O$10</f>
        <v>9.5892342440880698E-2</v>
      </c>
      <c r="Y46" s="327">
        <f t="shared" ref="Y46" si="18">Y$10*P46/P$10</f>
        <v>0.12599034657242481</v>
      </c>
      <c r="Z46" s="327">
        <f t="shared" ref="Z46" si="19">Z$10*Q46/Q$10</f>
        <v>4.1067989707732636E-2</v>
      </c>
      <c r="AA46" s="327">
        <f t="shared" ref="AA46" si="20">AA$10*R46/R$10</f>
        <v>1.8257797460328679E-3</v>
      </c>
      <c r="AB46" s="327"/>
      <c r="AC46" s="291"/>
      <c r="AE46" s="291"/>
      <c r="AG46" s="291"/>
    </row>
    <row r="47" spans="2:33">
      <c r="B47" s="291" t="s">
        <v>426</v>
      </c>
      <c r="C47" s="289"/>
      <c r="D47" s="290">
        <v>3.2497759833653046E-8</v>
      </c>
      <c r="E47" s="290">
        <v>6.1372237552082524E-8</v>
      </c>
      <c r="F47" s="290">
        <v>9.5696287324307244E-8</v>
      </c>
      <c r="G47" s="290">
        <v>1.160207230673925E-7</v>
      </c>
      <c r="H47" s="290">
        <v>1.4520344238208369E-7</v>
      </c>
      <c r="I47" s="290">
        <v>5.4846787137661763E-8</v>
      </c>
      <c r="J47" s="290">
        <v>8.4948843654821493E-8</v>
      </c>
      <c r="K47" s="290"/>
      <c r="L47" s="290">
        <v>3.2497759833653046E-8</v>
      </c>
      <c r="M47" s="290">
        <v>6.1372237552082524E-8</v>
      </c>
      <c r="N47" s="290">
        <v>9.5696287324307244E-8</v>
      </c>
      <c r="O47" s="290">
        <v>1.160207230673925E-7</v>
      </c>
      <c r="P47" s="290">
        <v>1.4520344238208369E-7</v>
      </c>
      <c r="Q47" s="290">
        <v>5.4846787137661763E-8</v>
      </c>
      <c r="R47" s="290">
        <v>8.4948843654821493E-8</v>
      </c>
      <c r="S47" s="291"/>
      <c r="T47" s="291"/>
      <c r="U47" s="327"/>
      <c r="V47" s="327"/>
      <c r="W47" s="327"/>
      <c r="X47" s="327"/>
      <c r="Y47" s="327"/>
      <c r="Z47" s="327"/>
      <c r="AA47" s="327"/>
      <c r="AB47" s="327"/>
      <c r="AC47" s="291"/>
      <c r="AE47" s="291"/>
      <c r="AG47" s="291"/>
    </row>
    <row r="48" spans="2:33">
      <c r="B48" s="291" t="s">
        <v>426</v>
      </c>
      <c r="C48" s="289"/>
      <c r="D48" s="290">
        <v>2.6755837203135673E-10</v>
      </c>
      <c r="E48" s="290">
        <v>2.4869633826283098E-10</v>
      </c>
      <c r="F48" s="290">
        <v>2.4040647256673699E-10</v>
      </c>
      <c r="G48" s="290">
        <v>2.3907284643993036E-10</v>
      </c>
      <c r="H48" s="290">
        <v>2.1744118728331419E-10</v>
      </c>
      <c r="I48" s="290">
        <v>2.5234818206916058E-10</v>
      </c>
      <c r="J48" s="290">
        <v>2.466147900698501E-10</v>
      </c>
      <c r="K48" s="290"/>
      <c r="L48" s="290">
        <v>2.6755837203135673E-10</v>
      </c>
      <c r="M48" s="290">
        <v>2.4869633826283098E-10</v>
      </c>
      <c r="N48" s="290">
        <v>2.4040647256673699E-10</v>
      </c>
      <c r="O48" s="290">
        <v>2.3907284643993036E-10</v>
      </c>
      <c r="P48" s="290">
        <v>2.1744118728331419E-10</v>
      </c>
      <c r="Q48" s="290">
        <v>2.5234818206916058E-10</v>
      </c>
      <c r="R48" s="290">
        <v>2.466147900698501E-10</v>
      </c>
      <c r="S48" s="291"/>
      <c r="T48" s="291"/>
      <c r="U48" s="327"/>
      <c r="V48" s="327"/>
      <c r="W48" s="327"/>
      <c r="X48" s="327"/>
      <c r="Y48" s="327"/>
      <c r="Z48" s="327"/>
      <c r="AA48" s="327"/>
      <c r="AB48" s="327"/>
      <c r="AC48" s="291"/>
      <c r="AE48" s="291"/>
      <c r="AG48" s="291"/>
    </row>
    <row r="49" spans="2:33">
      <c r="B49" s="295" t="s">
        <v>426</v>
      </c>
      <c r="C49" s="293"/>
      <c r="D49" s="294">
        <v>3.9417189492321479E-6</v>
      </c>
      <c r="E49" s="294">
        <v>6.5449007135744571E-6</v>
      </c>
      <c r="F49" s="294">
        <v>2.0942342249412137E-4</v>
      </c>
      <c r="G49" s="294">
        <v>1.3553867749455152E-3</v>
      </c>
      <c r="H49" s="294">
        <v>0.11832465891860533</v>
      </c>
      <c r="I49" s="294">
        <v>7.5024889536057385E-6</v>
      </c>
      <c r="J49" s="294">
        <v>6.3684244655366098E-7</v>
      </c>
      <c r="K49" s="294"/>
      <c r="L49" s="294">
        <v>3.9417189492321479E-6</v>
      </c>
      <c r="M49" s="294">
        <v>6.5449007135744571E-6</v>
      </c>
      <c r="N49" s="294">
        <v>2.0942342249412137E-4</v>
      </c>
      <c r="O49" s="294">
        <v>1.3553867749455152E-3</v>
      </c>
      <c r="P49" s="294">
        <v>0.11832465891860533</v>
      </c>
      <c r="Q49" s="294">
        <v>7.5024889536057385E-6</v>
      </c>
      <c r="R49" s="294">
        <v>6.3684244655366098E-7</v>
      </c>
      <c r="S49" s="295"/>
      <c r="T49" s="295"/>
      <c r="U49" s="310"/>
      <c r="V49" s="310"/>
      <c r="W49" s="310"/>
      <c r="X49" s="310"/>
      <c r="Y49" s="310"/>
      <c r="Z49" s="310"/>
      <c r="AA49" s="310"/>
      <c r="AB49" s="310"/>
      <c r="AC49" s="295"/>
      <c r="AE49" s="291"/>
      <c r="AG49" s="291"/>
    </row>
    <row r="50" spans="2:33">
      <c r="B50" s="282"/>
      <c r="C50" s="296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82"/>
      <c r="T50" s="282"/>
      <c r="U50" s="309"/>
      <c r="V50" s="309"/>
      <c r="W50" s="309"/>
      <c r="X50" s="309"/>
      <c r="Y50" s="309"/>
      <c r="Z50" s="309"/>
      <c r="AA50" s="309"/>
      <c r="AB50" s="309"/>
      <c r="AC50" s="282"/>
      <c r="AE50" s="291"/>
      <c r="AG50" s="291"/>
    </row>
    <row r="51" spans="2:33">
      <c r="B51" s="291" t="s">
        <v>426</v>
      </c>
      <c r="C51" s="289"/>
      <c r="D51" s="290">
        <v>0.60331365291373718</v>
      </c>
      <c r="E51" s="290">
        <v>0.15560957469871359</v>
      </c>
      <c r="F51" s="290">
        <v>0.1227376216333614</v>
      </c>
      <c r="G51" s="290">
        <v>4.4873790610499883E-2</v>
      </c>
      <c r="H51" s="290">
        <v>2.2678793348974668E-2</v>
      </c>
      <c r="I51" s="290">
        <v>4.3642474838757259E-2</v>
      </c>
      <c r="J51" s="290">
        <v>7.1440919559559507E-3</v>
      </c>
      <c r="K51" s="290"/>
      <c r="L51" s="290">
        <v>0.60473574565992527</v>
      </c>
      <c r="M51" s="290">
        <v>0.15607308324038774</v>
      </c>
      <c r="N51" s="290">
        <v>0.12175754603694129</v>
      </c>
      <c r="O51" s="290">
        <v>4.4332686567930504E-2</v>
      </c>
      <c r="P51" s="290">
        <v>2.1854545890256587E-2</v>
      </c>
      <c r="Q51" s="290">
        <v>4.4127111270854801E-2</v>
      </c>
      <c r="R51" s="290">
        <v>7.1192813337038223E-3</v>
      </c>
      <c r="S51" s="291"/>
      <c r="T51" s="291"/>
      <c r="U51" s="327"/>
      <c r="V51" s="327"/>
      <c r="W51" s="327"/>
      <c r="X51" s="327"/>
      <c r="Y51" s="327"/>
      <c r="Z51" s="327"/>
      <c r="AA51" s="327"/>
      <c r="AB51" s="327"/>
      <c r="AC51" s="291"/>
      <c r="AE51" s="291"/>
      <c r="AG51" s="291"/>
    </row>
    <row r="52" spans="2:33">
      <c r="B52" s="291" t="s">
        <v>426</v>
      </c>
      <c r="C52" s="292" t="s">
        <v>431</v>
      </c>
      <c r="D52" s="290">
        <v>42754382.143567115</v>
      </c>
      <c r="E52" s="290">
        <v>11027416.982419936</v>
      </c>
      <c r="F52" s="290">
        <v>8697915.5093902536</v>
      </c>
      <c r="G52" s="290">
        <v>3180022.8334399113</v>
      </c>
      <c r="H52" s="290">
        <v>1607153.7461720407</v>
      </c>
      <c r="I52" s="290">
        <v>3092764.498094378</v>
      </c>
      <c r="J52" s="290">
        <v>506272.70919293619</v>
      </c>
      <c r="K52" s="290"/>
      <c r="L52" s="290">
        <v>47209925.564774543</v>
      </c>
      <c r="M52" s="290">
        <v>12184162.578983869</v>
      </c>
      <c r="N52" s="290">
        <v>9505250.3950810023</v>
      </c>
      <c r="O52" s="290">
        <v>3460921.3164247973</v>
      </c>
      <c r="P52" s="290">
        <v>1706119.5607100283</v>
      </c>
      <c r="Q52" s="290">
        <v>3444872.6628723107</v>
      </c>
      <c r="R52" s="290">
        <v>555781.1726046924</v>
      </c>
      <c r="S52" s="291"/>
      <c r="T52" s="291"/>
      <c r="U52" s="327"/>
      <c r="V52" s="327"/>
      <c r="W52" s="327"/>
      <c r="X52" s="327"/>
      <c r="Y52" s="327"/>
      <c r="Z52" s="327"/>
      <c r="AA52" s="327"/>
      <c r="AB52" s="327"/>
      <c r="AC52" s="291"/>
      <c r="AE52" s="291"/>
      <c r="AG52" s="291"/>
    </row>
    <row r="53" spans="2:33">
      <c r="B53" s="291" t="s">
        <v>426</v>
      </c>
      <c r="C53" s="289"/>
      <c r="D53" s="290">
        <v>3.1830043470244451</v>
      </c>
      <c r="E53" s="290">
        <v>4.9680074170250084</v>
      </c>
      <c r="F53" s="290">
        <v>3.7125317551354913</v>
      </c>
      <c r="G53" s="290">
        <v>4.0967917459043983</v>
      </c>
      <c r="H53" s="290">
        <v>1.9722368821022458</v>
      </c>
      <c r="I53" s="290">
        <v>4.3980140096052969</v>
      </c>
      <c r="J53" s="290">
        <v>25.081621692847978</v>
      </c>
      <c r="K53" s="290"/>
      <c r="L53" s="290">
        <v>3.5147133641361155</v>
      </c>
      <c r="M53" s="290">
        <v>5.4891376792162481</v>
      </c>
      <c r="N53" s="290">
        <v>4.0571265487868846</v>
      </c>
      <c r="O53" s="290">
        <v>4.4586704640155874</v>
      </c>
      <c r="P53" s="290">
        <v>2.0936838998278393</v>
      </c>
      <c r="Q53" s="290">
        <v>4.8987235342211939</v>
      </c>
      <c r="R53" s="290">
        <v>27.534356211892838</v>
      </c>
      <c r="S53" s="291"/>
      <c r="T53" s="291"/>
      <c r="U53" s="327"/>
      <c r="V53" s="327"/>
      <c r="W53" s="327"/>
      <c r="X53" s="327"/>
      <c r="Y53" s="327"/>
      <c r="Z53" s="327"/>
      <c r="AA53" s="327"/>
      <c r="AB53" s="327"/>
      <c r="AC53" s="291"/>
      <c r="AE53" s="291"/>
      <c r="AG53" s="291"/>
    </row>
    <row r="54" spans="2:33">
      <c r="B54" s="291" t="s">
        <v>426</v>
      </c>
      <c r="C54" s="289"/>
      <c r="D54" s="290">
        <v>2.6206097454652157E-2</v>
      </c>
      <c r="E54" s="290">
        <v>2.0131663800398294E-2</v>
      </c>
      <c r="F54" s="290">
        <v>9.3265547546212656E-3</v>
      </c>
      <c r="G54" s="290">
        <v>8.4418682979251706E-3</v>
      </c>
      <c r="H54" s="290">
        <v>2.95341158730799E-3</v>
      </c>
      <c r="I54" s="290">
        <v>2.0235111260993196E-2</v>
      </c>
      <c r="J54" s="290">
        <v>7.281439749229629E-2</v>
      </c>
      <c r="K54" s="290"/>
      <c r="L54" s="290">
        <v>2.8937101839594821E-2</v>
      </c>
      <c r="M54" s="290">
        <v>2.2243419752834035E-2</v>
      </c>
      <c r="N54" s="290">
        <v>1.0192239528011128E-2</v>
      </c>
      <c r="O54" s="290">
        <v>9.1875572827681759E-3</v>
      </c>
      <c r="P54" s="290">
        <v>3.1352776869888964E-3</v>
      </c>
      <c r="Q54" s="290">
        <v>2.2538858570099879E-2</v>
      </c>
      <c r="R54" s="290">
        <v>7.9934925359269687E-2</v>
      </c>
      <c r="S54" s="291"/>
      <c r="T54" s="291"/>
      <c r="U54" s="327"/>
      <c r="V54" s="327"/>
      <c r="W54" s="327"/>
      <c r="X54" s="327"/>
      <c r="Y54" s="327"/>
      <c r="Z54" s="327"/>
      <c r="AA54" s="327"/>
      <c r="AB54" s="327"/>
      <c r="AC54" s="291"/>
      <c r="AE54" s="291"/>
      <c r="AG54" s="291"/>
    </row>
    <row r="55" spans="2:33">
      <c r="B55" s="295" t="s">
        <v>426</v>
      </c>
      <c r="C55" s="293"/>
      <c r="D55" s="294">
        <v>386.07302824491984</v>
      </c>
      <c r="E55" s="294">
        <v>529.8016918665669</v>
      </c>
      <c r="F55" s="294">
        <v>8124.5691762703946</v>
      </c>
      <c r="G55" s="294">
        <v>47859.875419664226</v>
      </c>
      <c r="H55" s="294">
        <v>1607153.7461720407</v>
      </c>
      <c r="I55" s="294">
        <v>601.60409108466354</v>
      </c>
      <c r="J55" s="294">
        <v>188.03129783980398</v>
      </c>
      <c r="K55" s="294"/>
      <c r="L55" s="294">
        <v>426.30668512074726</v>
      </c>
      <c r="M55" s="294">
        <v>585.37642664768384</v>
      </c>
      <c r="N55" s="294">
        <v>8878.6864265620861</v>
      </c>
      <c r="O55" s="294">
        <v>52087.444561577227</v>
      </c>
      <c r="P55" s="294">
        <v>1706119.5607100283</v>
      </c>
      <c r="Q55" s="294">
        <v>670.09611903093526</v>
      </c>
      <c r="R55" s="294">
        <v>206.41889894950421</v>
      </c>
      <c r="S55" s="295"/>
      <c r="T55" s="295"/>
      <c r="U55" s="310"/>
      <c r="V55" s="310"/>
      <c r="W55" s="310"/>
      <c r="X55" s="310"/>
      <c r="Y55" s="310"/>
      <c r="Z55" s="310"/>
      <c r="AA55" s="310"/>
      <c r="AB55" s="310"/>
      <c r="AC55" s="295"/>
      <c r="AE55" s="291"/>
      <c r="AG55" s="291"/>
    </row>
    <row r="56" spans="2:33">
      <c r="B56" s="282"/>
      <c r="C56" s="296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82"/>
      <c r="T56" s="282"/>
      <c r="U56" s="309"/>
      <c r="V56" s="309"/>
      <c r="W56" s="309"/>
      <c r="X56" s="309"/>
      <c r="Y56" s="309"/>
      <c r="Z56" s="309"/>
      <c r="AA56" s="309"/>
      <c r="AB56" s="309"/>
      <c r="AC56" s="282"/>
      <c r="AE56" s="291"/>
      <c r="AG56" s="291"/>
    </row>
    <row r="57" spans="2:33">
      <c r="B57" s="291" t="s">
        <v>426</v>
      </c>
      <c r="C57" s="289"/>
      <c r="D57" s="290">
        <v>0.5375335307302751</v>
      </c>
      <c r="E57" s="290">
        <v>0.13292055457148846</v>
      </c>
      <c r="F57" s="290">
        <v>0.15941198026241213</v>
      </c>
      <c r="G57" s="290">
        <v>6.1535602726269255E-2</v>
      </c>
      <c r="H57" s="290">
        <v>6.1450104205398919E-2</v>
      </c>
      <c r="I57" s="290">
        <v>4.491091978668945E-2</v>
      </c>
      <c r="J57" s="290">
        <v>2.237307717466375E-3</v>
      </c>
      <c r="K57" s="290"/>
      <c r="L57" s="290">
        <v>0.53586540693955809</v>
      </c>
      <c r="M57" s="290">
        <v>0.13187477872559633</v>
      </c>
      <c r="N57" s="290">
        <v>0.16092983671732575</v>
      </c>
      <c r="O57" s="290">
        <v>6.211637160092167E-2</v>
      </c>
      <c r="P57" s="290">
        <v>6.2053212908860955E-2</v>
      </c>
      <c r="Q57" s="290">
        <v>4.5256093876679844E-2</v>
      </c>
      <c r="R57" s="290">
        <v>1.9042992310570983E-3</v>
      </c>
      <c r="S57" s="291"/>
      <c r="T57" s="291"/>
      <c r="U57" s="327"/>
      <c r="V57" s="327"/>
      <c r="W57" s="327"/>
      <c r="X57" s="327"/>
      <c r="Y57" s="327"/>
      <c r="Z57" s="327"/>
      <c r="AA57" s="327"/>
      <c r="AB57" s="327"/>
      <c r="AC57" s="291"/>
      <c r="AE57" s="291"/>
      <c r="AG57" s="291"/>
    </row>
    <row r="58" spans="2:33">
      <c r="B58" s="291" t="s">
        <v>426</v>
      </c>
      <c r="C58" s="90" t="s">
        <v>434</v>
      </c>
      <c r="D58" s="290">
        <v>6694072.0700953817</v>
      </c>
      <c r="E58" s="290">
        <v>1655300.964555206</v>
      </c>
      <c r="F58" s="290">
        <v>1985206.9195822298</v>
      </c>
      <c r="G58" s="290">
        <v>766321.97988984676</v>
      </c>
      <c r="H58" s="290">
        <v>765257.24024501932</v>
      </c>
      <c r="I58" s="290">
        <v>559289.63794674643</v>
      </c>
      <c r="J58" s="290">
        <v>27861.888138129103</v>
      </c>
      <c r="K58" s="290"/>
      <c r="L58" s="290">
        <v>7460395.6265739836</v>
      </c>
      <c r="M58" s="290">
        <v>1835979.7249812412</v>
      </c>
      <c r="N58" s="290">
        <v>2240488.4407226192</v>
      </c>
      <c r="O58" s="290">
        <v>864793.10108261975</v>
      </c>
      <c r="P58" s="290">
        <v>863913.79664548323</v>
      </c>
      <c r="Q58" s="290">
        <v>630061.87833932356</v>
      </c>
      <c r="R58" s="290">
        <v>26511.929061076724</v>
      </c>
      <c r="S58" s="291"/>
      <c r="T58" s="291"/>
      <c r="U58" s="327">
        <f>U$10*L58/L$10</f>
        <v>7943718.9099022467</v>
      </c>
      <c r="V58" s="327">
        <f t="shared" ref="V58" si="21">V$10*M58/M$10</f>
        <v>1954924.0535690212</v>
      </c>
      <c r="W58" s="327">
        <f t="shared" ref="W58" si="22">W$10*N58/N$10</f>
        <v>2385638.9506462282</v>
      </c>
      <c r="X58" s="327">
        <f t="shared" ref="X58" si="23">X$10*O58/O$10</f>
        <v>920818.90211736015</v>
      </c>
      <c r="Y58" s="327">
        <f t="shared" ref="Y58" si="24">Y$10*P58/P$10</f>
        <v>919882.63175926264</v>
      </c>
      <c r="Z58" s="327">
        <f t="shared" ref="Z58" si="25">Z$10*Q58/Q$10</f>
        <v>670880.5682562791</v>
      </c>
      <c r="AA58" s="327">
        <f t="shared" ref="AA58" si="26">AA$10*R58/R$10</f>
        <v>28229.509902972375</v>
      </c>
      <c r="AB58" s="327"/>
      <c r="AC58" s="291"/>
      <c r="AE58" s="291"/>
      <c r="AG58" s="291"/>
    </row>
    <row r="59" spans="2:33">
      <c r="B59" s="291" t="s">
        <v>426</v>
      </c>
      <c r="C59" s="289"/>
      <c r="D59" s="290">
        <v>0.4983643647769202</v>
      </c>
      <c r="E59" s="290">
        <v>0.74573651131801844</v>
      </c>
      <c r="F59" s="290">
        <v>0.84734597864361227</v>
      </c>
      <c r="G59" s="290">
        <v>0.98724497475441242</v>
      </c>
      <c r="H59" s="290">
        <v>0.93909407055909866</v>
      </c>
      <c r="I59" s="290">
        <v>0.79532847219129055</v>
      </c>
      <c r="J59" s="290">
        <v>1.3803259098105718</v>
      </c>
      <c r="K59" s="290"/>
      <c r="L59" s="290">
        <v>0.55541608881559001</v>
      </c>
      <c r="M59" s="290">
        <v>0.82713484996127595</v>
      </c>
      <c r="N59" s="290">
        <v>0.95630780434884111</v>
      </c>
      <c r="O59" s="290">
        <v>1.1141043394955514</v>
      </c>
      <c r="P59" s="290">
        <v>1.0601615786662955</v>
      </c>
      <c r="Q59" s="290">
        <v>0.89596895255424436</v>
      </c>
      <c r="R59" s="290">
        <v>1.3134466128296425</v>
      </c>
      <c r="S59" s="291"/>
      <c r="T59" s="291"/>
      <c r="U59" s="327"/>
      <c r="V59" s="327"/>
      <c r="W59" s="327"/>
      <c r="X59" s="327"/>
      <c r="Y59" s="327"/>
      <c r="Z59" s="327"/>
      <c r="AA59" s="327"/>
      <c r="AB59" s="327"/>
      <c r="AC59" s="291"/>
      <c r="AE59" s="291"/>
      <c r="AG59" s="291"/>
    </row>
    <row r="60" spans="2:33">
      <c r="B60" s="291" t="s">
        <v>426</v>
      </c>
      <c r="C60" s="289"/>
      <c r="D60" s="290">
        <v>4.103099992143833E-3</v>
      </c>
      <c r="E60" s="290">
        <v>3.0219191457098206E-3</v>
      </c>
      <c r="F60" s="290">
        <v>2.1286871566811348E-3</v>
      </c>
      <c r="G60" s="290">
        <v>2.0343216281366954E-3</v>
      </c>
      <c r="H60" s="290">
        <v>1.4062871122281762E-3</v>
      </c>
      <c r="I60" s="290">
        <v>3.6592789583384765E-3</v>
      </c>
      <c r="J60" s="290">
        <v>4.0072209323897988E-3</v>
      </c>
      <c r="K60" s="290"/>
      <c r="L60" s="290">
        <v>4.5728144119532074E-3</v>
      </c>
      <c r="M60" s="290">
        <v>3.351766476827197E-3</v>
      </c>
      <c r="N60" s="290">
        <v>2.402419073505164E-3</v>
      </c>
      <c r="O60" s="290">
        <v>2.2957286304754808E-3</v>
      </c>
      <c r="P60" s="290">
        <v>1.5875848987847113E-3</v>
      </c>
      <c r="Q60" s="290">
        <v>4.1223223486179308E-3</v>
      </c>
      <c r="R60" s="290">
        <v>3.813063801163977E-3</v>
      </c>
      <c r="S60" s="291"/>
      <c r="T60" s="291"/>
      <c r="U60" s="327"/>
      <c r="V60" s="327"/>
      <c r="W60" s="327"/>
      <c r="X60" s="327"/>
      <c r="Y60" s="327"/>
      <c r="Z60" s="327"/>
      <c r="AA60" s="327"/>
      <c r="AB60" s="327"/>
      <c r="AC60" s="291"/>
      <c r="AE60" s="291"/>
      <c r="AG60" s="291"/>
    </row>
    <row r="61" spans="2:33">
      <c r="B61" s="295" t="s">
        <v>426</v>
      </c>
      <c r="C61" s="293"/>
      <c r="D61" s="294">
        <v>60.447620707350488</v>
      </c>
      <c r="E61" s="294">
        <v>79.527350146258556</v>
      </c>
      <c r="F61" s="294">
        <v>1854.3467029478154</v>
      </c>
      <c r="G61" s="294">
        <v>11533.273944830473</v>
      </c>
      <c r="H61" s="294">
        <v>765257.24024501932</v>
      </c>
      <c r="I61" s="294">
        <v>108.79293735340701</v>
      </c>
      <c r="J61" s="294">
        <v>10.347994058837077</v>
      </c>
      <c r="K61" s="294"/>
      <c r="L61" s="294">
        <v>67.367539584242166</v>
      </c>
      <c r="M61" s="294">
        <v>88.207888218834569</v>
      </c>
      <c r="N61" s="294">
        <v>2092.8006607598318</v>
      </c>
      <c r="O61" s="294">
        <v>13015.280785524381</v>
      </c>
      <c r="P61" s="294">
        <v>863913.79664548323</v>
      </c>
      <c r="Q61" s="294">
        <v>122.55954304926121</v>
      </c>
      <c r="R61" s="294">
        <v>9.84661495488848</v>
      </c>
      <c r="S61" s="295"/>
      <c r="T61" s="295"/>
      <c r="U61" s="310"/>
      <c r="V61" s="310"/>
      <c r="W61" s="310"/>
      <c r="X61" s="310"/>
      <c r="Y61" s="310"/>
      <c r="Z61" s="310"/>
      <c r="AA61" s="310"/>
      <c r="AB61" s="310"/>
      <c r="AC61" s="295"/>
      <c r="AE61" s="291"/>
      <c r="AG61" s="291"/>
    </row>
    <row r="62" spans="2:33">
      <c r="B62" s="282"/>
      <c r="C62" s="296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82"/>
      <c r="T62" s="282"/>
      <c r="U62" s="309"/>
      <c r="V62" s="309"/>
      <c r="W62" s="309"/>
      <c r="X62" s="309"/>
      <c r="Y62" s="309"/>
      <c r="Z62" s="309"/>
      <c r="AA62" s="309"/>
      <c r="AB62" s="309"/>
      <c r="AC62" s="282"/>
      <c r="AE62" s="291"/>
      <c r="AG62" s="291"/>
    </row>
    <row r="63" spans="2:33">
      <c r="B63" s="291" t="s">
        <v>426</v>
      </c>
      <c r="C63" s="289"/>
      <c r="D63" s="290">
        <v>0.60651117570962965</v>
      </c>
      <c r="E63" s="290">
        <v>0.14315023726833001</v>
      </c>
      <c r="F63" s="290">
        <v>0.13315067465569128</v>
      </c>
      <c r="G63" s="290">
        <v>5.1076201850419639E-2</v>
      </c>
      <c r="H63" s="290">
        <v>1.9058871052506275E-2</v>
      </c>
      <c r="I63" s="290">
        <v>3.6753700731141065E-2</v>
      </c>
      <c r="J63" s="290">
        <v>1.0299138732282194E-2</v>
      </c>
      <c r="K63" s="290"/>
      <c r="L63" s="290">
        <v>0.60890040362423681</v>
      </c>
      <c r="M63" s="290">
        <v>0.14205965257140804</v>
      </c>
      <c r="N63" s="290">
        <v>0.1328586748357676</v>
      </c>
      <c r="O63" s="290">
        <v>5.1019366236861242E-2</v>
      </c>
      <c r="P63" s="290">
        <v>1.7788383370164074E-2</v>
      </c>
      <c r="Q63" s="290">
        <v>3.6599170820698378E-2</v>
      </c>
      <c r="R63" s="290">
        <v>1.0774348540863921E-2</v>
      </c>
      <c r="S63" s="291"/>
      <c r="T63" s="291"/>
      <c r="U63" s="327"/>
      <c r="V63" s="327"/>
      <c r="W63" s="327"/>
      <c r="X63" s="327"/>
      <c r="Y63" s="327"/>
      <c r="Z63" s="327"/>
      <c r="AA63" s="327"/>
      <c r="AB63" s="327"/>
      <c r="AC63" s="291"/>
      <c r="AE63" s="291"/>
      <c r="AG63" s="291"/>
    </row>
    <row r="64" spans="2:33">
      <c r="B64" s="291" t="s">
        <v>426</v>
      </c>
      <c r="C64" s="90" t="s">
        <v>435</v>
      </c>
      <c r="D64" s="290">
        <v>25876267.187623437</v>
      </c>
      <c r="E64" s="290">
        <v>6107379.2798508946</v>
      </c>
      <c r="F64" s="290">
        <v>5680756.7141227936</v>
      </c>
      <c r="G64" s="290">
        <v>2179121.3401205279</v>
      </c>
      <c r="H64" s="290">
        <v>813130.01210916368</v>
      </c>
      <c r="I64" s="290">
        <v>1568064.3957470562</v>
      </c>
      <c r="J64" s="290">
        <v>439403.7180388663</v>
      </c>
      <c r="K64" s="290"/>
      <c r="L64" s="290">
        <v>27983621.693723455</v>
      </c>
      <c r="M64" s="290">
        <v>6528725.4727348238</v>
      </c>
      <c r="N64" s="290">
        <v>6105870.3085174793</v>
      </c>
      <c r="O64" s="290">
        <v>2344729.343794154</v>
      </c>
      <c r="P64" s="290">
        <v>817512.00657896721</v>
      </c>
      <c r="Q64" s="290">
        <v>1682011.2853504093</v>
      </c>
      <c r="R64" s="290">
        <v>495163.56331719813</v>
      </c>
      <c r="S64" s="291"/>
      <c r="T64" s="291"/>
      <c r="U64" s="327">
        <f>U$10*L64/L$10</f>
        <v>29796546.449114416</v>
      </c>
      <c r="V64" s="327">
        <f t="shared" ref="V64" si="27">V$10*M64/M$10</f>
        <v>6951690.3112470331</v>
      </c>
      <c r="W64" s="327">
        <f t="shared" ref="W64" si="28">W$10*N64/N$10</f>
        <v>6501440.3872110741</v>
      </c>
      <c r="X64" s="327">
        <f t="shared" ref="X64" si="29">X$10*O64/O$10</f>
        <v>2496633.1223179125</v>
      </c>
      <c r="Y64" s="327">
        <f t="shared" ref="Y64" si="30">Y$10*P64/P$10</f>
        <v>870474.69206612743</v>
      </c>
      <c r="Z64" s="327">
        <f t="shared" ref="Z64" si="31">Z$10*Q64/Q$10</f>
        <v>1790980.7365327298</v>
      </c>
      <c r="AA64" s="327">
        <f t="shared" ref="AA64" si="32">AA$10*R64/R$10</f>
        <v>527242.83782035136</v>
      </c>
      <c r="AB64" s="327"/>
      <c r="AC64" s="291"/>
      <c r="AE64" s="291"/>
      <c r="AG64" s="291"/>
    </row>
    <row r="65" spans="2:33">
      <c r="B65" s="291" t="s">
        <v>426</v>
      </c>
      <c r="C65" s="289"/>
      <c r="D65" s="290">
        <v>1.9264521392543164</v>
      </c>
      <c r="E65" s="290">
        <v>2.7514608007709289</v>
      </c>
      <c r="F65" s="290">
        <v>2.4247177006503806</v>
      </c>
      <c r="G65" s="290">
        <v>2.8073403202180494</v>
      </c>
      <c r="H65" s="290">
        <v>0.99784168356365144</v>
      </c>
      <c r="I65" s="290">
        <v>2.2298397387541309</v>
      </c>
      <c r="J65" s="290">
        <v>21.768816738809623</v>
      </c>
      <c r="K65" s="290"/>
      <c r="L65" s="290">
        <v>2.0833417542442771</v>
      </c>
      <c r="M65" s="290">
        <v>2.9412832238025146</v>
      </c>
      <c r="N65" s="290">
        <v>2.6061689595211051</v>
      </c>
      <c r="O65" s="290">
        <v>3.0206914620310492</v>
      </c>
      <c r="P65" s="290">
        <v>1.0032190975983069</v>
      </c>
      <c r="Q65" s="290">
        <v>2.3918760066740692</v>
      </c>
      <c r="R65" s="290">
        <v>24.531255478895609</v>
      </c>
      <c r="S65" s="291"/>
      <c r="T65" s="291"/>
      <c r="U65" s="327"/>
      <c r="V65" s="327"/>
      <c r="W65" s="327"/>
      <c r="X65" s="327"/>
      <c r="Y65" s="327"/>
      <c r="Z65" s="327"/>
      <c r="AA65" s="327"/>
      <c r="AB65" s="327"/>
      <c r="AC65" s="291"/>
      <c r="AE65" s="291"/>
      <c r="AG65" s="291"/>
    </row>
    <row r="66" spans="2:33">
      <c r="B66" s="291" t="s">
        <v>426</v>
      </c>
      <c r="C66" s="289"/>
      <c r="D66" s="290">
        <v>1.5860736272702937E-2</v>
      </c>
      <c r="E66" s="290">
        <v>1.1149637903371951E-2</v>
      </c>
      <c r="F66" s="290">
        <v>6.0913317087007189E-3</v>
      </c>
      <c r="G66" s="290">
        <v>5.7848186387380231E-3</v>
      </c>
      <c r="H66" s="290">
        <v>1.4942612711889337E-3</v>
      </c>
      <c r="I66" s="290">
        <v>1.0259415979423691E-2</v>
      </c>
      <c r="J66" s="290">
        <v>6.3197001149595644E-2</v>
      </c>
      <c r="K66" s="290"/>
      <c r="L66" s="290">
        <v>1.7152429306013833E-2</v>
      </c>
      <c r="M66" s="290">
        <v>1.1918847947051246E-2</v>
      </c>
      <c r="N66" s="290">
        <v>6.5471702611418709E-3</v>
      </c>
      <c r="O66" s="290">
        <v>6.2244510028184926E-3</v>
      </c>
      <c r="P66" s="290">
        <v>1.5023139128689611E-3</v>
      </c>
      <c r="Q66" s="290">
        <v>1.1004939277556686E-2</v>
      </c>
      <c r="R66" s="290">
        <v>7.1216630619012927E-2</v>
      </c>
      <c r="S66" s="291"/>
      <c r="T66" s="291"/>
      <c r="U66" s="327"/>
      <c r="V66" s="327"/>
      <c r="W66" s="327"/>
      <c r="X66" s="327"/>
      <c r="Y66" s="327"/>
      <c r="Z66" s="327"/>
      <c r="AA66" s="327"/>
      <c r="AB66" s="327"/>
      <c r="AC66" s="291"/>
      <c r="AE66" s="291"/>
      <c r="AG66" s="291"/>
    </row>
    <row r="67" spans="2:33">
      <c r="B67" s="295" t="s">
        <v>426</v>
      </c>
      <c r="C67" s="293"/>
      <c r="D67" s="294">
        <v>233.66327220573729</v>
      </c>
      <c r="E67" s="294">
        <v>293.42319062516793</v>
      </c>
      <c r="F67" s="294">
        <v>5306.2944618886777</v>
      </c>
      <c r="G67" s="294">
        <v>32796.140570375843</v>
      </c>
      <c r="H67" s="294">
        <v>813130.01210916368</v>
      </c>
      <c r="I67" s="294">
        <v>305.01965349992929</v>
      </c>
      <c r="J67" s="294">
        <v>163.19594139331124</v>
      </c>
      <c r="K67" s="294"/>
      <c r="L67" s="294">
        <v>252.69273059022771</v>
      </c>
      <c r="M67" s="294">
        <v>313.66636508817396</v>
      </c>
      <c r="N67" s="294">
        <v>5703.3855582213328</v>
      </c>
      <c r="O67" s="294">
        <v>35288.568719310017</v>
      </c>
      <c r="P67" s="294">
        <v>817512.00657896721</v>
      </c>
      <c r="Q67" s="294">
        <v>327.18458555149283</v>
      </c>
      <c r="R67" s="294">
        <v>183.90532565331844</v>
      </c>
      <c r="S67" s="295"/>
      <c r="T67" s="295"/>
      <c r="U67" s="310"/>
      <c r="V67" s="310"/>
      <c r="W67" s="310"/>
      <c r="X67" s="310"/>
      <c r="Y67" s="310"/>
      <c r="Z67" s="310"/>
      <c r="AA67" s="310"/>
      <c r="AB67" s="310"/>
      <c r="AC67" s="295"/>
      <c r="AE67" s="291"/>
      <c r="AG67" s="291"/>
    </row>
    <row r="68" spans="2:33">
      <c r="B68" s="282"/>
      <c r="C68" s="296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82"/>
      <c r="T68" s="282"/>
      <c r="U68" s="309"/>
      <c r="V68" s="309"/>
      <c r="W68" s="309"/>
      <c r="X68" s="309"/>
      <c r="Y68" s="309"/>
      <c r="Z68" s="309"/>
      <c r="AA68" s="309"/>
      <c r="AB68" s="309"/>
      <c r="AC68" s="282"/>
      <c r="AE68" s="291"/>
      <c r="AG68" s="291"/>
    </row>
    <row r="69" spans="2:33">
      <c r="B69" s="291" t="s">
        <v>426</v>
      </c>
      <c r="C69" s="289"/>
      <c r="D69" s="290">
        <v>0.60448354780888358</v>
      </c>
      <c r="E69" s="290">
        <v>0.21011482461969438</v>
      </c>
      <c r="F69" s="290">
        <v>6.9591864789793942E-2</v>
      </c>
      <c r="G69" s="290">
        <v>1.3877839438095108E-2</v>
      </c>
      <c r="H69" s="290">
        <v>1.2399712048999445E-3</v>
      </c>
      <c r="I69" s="290">
        <v>9.8893464519030055E-2</v>
      </c>
      <c r="J69" s="290">
        <v>1.798487619602942E-3</v>
      </c>
      <c r="K69" s="290"/>
      <c r="L69" s="290">
        <v>0.60224783496251899</v>
      </c>
      <c r="M69" s="290">
        <v>0.21267150943543356</v>
      </c>
      <c r="N69" s="290">
        <v>6.8055190828168938E-2</v>
      </c>
      <c r="O69" s="290">
        <v>1.2658363491664016E-2</v>
      </c>
      <c r="P69" s="290">
        <v>7.6602833785843294E-4</v>
      </c>
      <c r="Q69" s="290">
        <v>0.10225467287651155</v>
      </c>
      <c r="R69" s="290">
        <v>1.3464000678440936E-3</v>
      </c>
      <c r="S69" s="291"/>
      <c r="T69" s="291"/>
      <c r="U69" s="327"/>
      <c r="V69" s="327"/>
      <c r="W69" s="327"/>
      <c r="X69" s="327"/>
      <c r="Y69" s="327"/>
      <c r="Z69" s="327"/>
      <c r="AA69" s="327"/>
      <c r="AB69" s="327"/>
      <c r="AC69" s="291"/>
      <c r="AE69" s="291"/>
      <c r="AG69" s="291"/>
    </row>
    <row r="70" spans="2:33">
      <c r="B70" s="291" t="s">
        <v>426</v>
      </c>
      <c r="C70" s="90" t="s">
        <v>436</v>
      </c>
      <c r="D70" s="290">
        <v>5161833.1229186235</v>
      </c>
      <c r="E70" s="290">
        <v>1794221.9689345148</v>
      </c>
      <c r="F70" s="290">
        <v>594261.98456472449</v>
      </c>
      <c r="G70" s="290">
        <v>118506.27125546552</v>
      </c>
      <c r="H70" s="290">
        <v>10588.417931502529</v>
      </c>
      <c r="I70" s="290">
        <v>844475.52401525434</v>
      </c>
      <c r="J70" s="290">
        <v>15357.726442144045</v>
      </c>
      <c r="K70" s="290"/>
      <c r="L70" s="290">
        <v>5945731.2377856281</v>
      </c>
      <c r="M70" s="290">
        <v>2099613.420969747</v>
      </c>
      <c r="N70" s="290">
        <v>671879.33357317711</v>
      </c>
      <c r="O70" s="290">
        <v>124970.52353258507</v>
      </c>
      <c r="P70" s="290">
        <v>7562.6649910951419</v>
      </c>
      <c r="Q70" s="290">
        <v>1009515.9624264372</v>
      </c>
      <c r="R70" s="290">
        <v>13292.422948163075</v>
      </c>
      <c r="S70" s="291"/>
      <c r="T70" s="291"/>
      <c r="U70" s="327">
        <f>U$10*L70/L$10</f>
        <v>6330926.6734536486</v>
      </c>
      <c r="V70" s="327">
        <f t="shared" ref="V70" si="33">V$10*M70/M$10</f>
        <v>2235637.3134196978</v>
      </c>
      <c r="W70" s="327">
        <f t="shared" ref="W70" si="34">W$10*N70/N$10</f>
        <v>715407.17603052408</v>
      </c>
      <c r="X70" s="327">
        <f t="shared" ref="X70" si="35">X$10*O70/O$10</f>
        <v>133066.76490856137</v>
      </c>
      <c r="Y70" s="327">
        <f t="shared" ref="Y70" si="36">Y$10*P70/P$10</f>
        <v>8052.6138164882514</v>
      </c>
      <c r="Z70" s="327">
        <f t="shared" ref="Z70" si="37">Z$10*Q70/Q$10</f>
        <v>1074917.6641531195</v>
      </c>
      <c r="AA70" s="327">
        <f t="shared" ref="AA70" si="38">AA$10*R70/R$10</f>
        <v>14153.57533528446</v>
      </c>
      <c r="AB70" s="327"/>
      <c r="AC70" s="291"/>
      <c r="AE70" s="291"/>
      <c r="AG70" s="291"/>
    </row>
    <row r="71" spans="2:33">
      <c r="B71" s="291" t="s">
        <v>426</v>
      </c>
      <c r="C71" s="289"/>
      <c r="D71" s="290">
        <v>0.38429130407482326</v>
      </c>
      <c r="E71" s="290">
        <v>0.80832238988207683</v>
      </c>
      <c r="F71" s="290">
        <v>0.25364887554777343</v>
      </c>
      <c r="G71" s="290">
        <v>0.15267044903326243</v>
      </c>
      <c r="H71" s="290">
        <v>1.299369672463596E-2</v>
      </c>
      <c r="I71" s="290">
        <v>1.2008722900422169</v>
      </c>
      <c r="J71" s="290">
        <v>0.76084821024257487</v>
      </c>
      <c r="K71" s="290"/>
      <c r="L71" s="290">
        <v>0.44265142956716108</v>
      </c>
      <c r="M71" s="290">
        <v>0.94590556110211788</v>
      </c>
      <c r="N71" s="290">
        <v>0.28677829289290868</v>
      </c>
      <c r="O71" s="290">
        <v>0.16099828086323079</v>
      </c>
      <c r="P71" s="290">
        <v>9.28060980970059E-3</v>
      </c>
      <c r="Q71" s="290">
        <v>1.4355652842003619</v>
      </c>
      <c r="R71" s="290">
        <v>0.65852951919654645</v>
      </c>
      <c r="S71" s="291"/>
      <c r="T71" s="291"/>
      <c r="U71" s="327"/>
      <c r="V71" s="327"/>
      <c r="W71" s="327"/>
      <c r="X71" s="327"/>
      <c r="Y71" s="327"/>
      <c r="Z71" s="327"/>
      <c r="AA71" s="327"/>
      <c r="AB71" s="327"/>
      <c r="AC71" s="291"/>
      <c r="AE71" s="291"/>
      <c r="AG71" s="291"/>
    </row>
    <row r="72" spans="2:33">
      <c r="B72" s="291" t="s">
        <v>426</v>
      </c>
      <c r="C72" s="289"/>
      <c r="D72" s="290">
        <v>3.1639213358205451E-3</v>
      </c>
      <c r="E72" s="290">
        <v>3.2755334743813907E-3</v>
      </c>
      <c r="F72" s="290">
        <v>6.3721209198332835E-4</v>
      </c>
      <c r="G72" s="290">
        <v>3.145934437630002E-4</v>
      </c>
      <c r="H72" s="290">
        <v>1.9457974250841653E-5</v>
      </c>
      <c r="I72" s="290">
        <v>5.5251721222754251E-3</v>
      </c>
      <c r="J72" s="290">
        <v>2.2088166662565748E-3</v>
      </c>
      <c r="K72" s="290"/>
      <c r="L72" s="290">
        <v>3.6444079985383164E-3</v>
      </c>
      <c r="M72" s="290">
        <v>3.8330564237438794E-3</v>
      </c>
      <c r="N72" s="290">
        <v>7.204392117057904E-4</v>
      </c>
      <c r="O72" s="290">
        <v>3.3175381311449192E-4</v>
      </c>
      <c r="P72" s="290">
        <v>1.3897651340967541E-5</v>
      </c>
      <c r="Q72" s="290">
        <v>6.6049865199998871E-3</v>
      </c>
      <c r="R72" s="290">
        <v>1.9117755126998488E-3</v>
      </c>
      <c r="S72" s="291"/>
      <c r="T72" s="291"/>
      <c r="U72" s="327"/>
      <c r="V72" s="327"/>
      <c r="W72" s="327"/>
      <c r="X72" s="327"/>
      <c r="Y72" s="327"/>
      <c r="Z72" s="327"/>
      <c r="AA72" s="327"/>
      <c r="AB72" s="327"/>
      <c r="AC72" s="291"/>
      <c r="AE72" s="291"/>
      <c r="AG72" s="291"/>
    </row>
    <row r="73" spans="2:33">
      <c r="B73" s="295" t="s">
        <v>426</v>
      </c>
      <c r="C73" s="293"/>
      <c r="D73" s="294">
        <v>46.611468699705462</v>
      </c>
      <c r="E73" s="294">
        <v>86.201676806191301</v>
      </c>
      <c r="F73" s="294">
        <v>555.08961856566691</v>
      </c>
      <c r="G73" s="294">
        <v>1783.539199496973</v>
      </c>
      <c r="H73" s="294">
        <v>10588.417931502529</v>
      </c>
      <c r="I73" s="294">
        <v>164.26725357894964</v>
      </c>
      <c r="J73" s="294">
        <v>5.7039085503708824</v>
      </c>
      <c r="K73" s="294"/>
      <c r="L73" s="294">
        <v>53.690086232428349</v>
      </c>
      <c r="M73" s="294">
        <v>100.87391675393178</v>
      </c>
      <c r="N73" s="294">
        <v>627.59061269662766</v>
      </c>
      <c r="O73" s="294">
        <v>1880.827277246264</v>
      </c>
      <c r="P73" s="294">
        <v>7562.6649910951419</v>
      </c>
      <c r="Q73" s="294">
        <v>196.37089516037346</v>
      </c>
      <c r="R73" s="294">
        <v>4.9368482499541564</v>
      </c>
      <c r="S73" s="295"/>
      <c r="T73" s="295"/>
      <c r="U73" s="310"/>
      <c r="V73" s="310"/>
      <c r="W73" s="310"/>
      <c r="X73" s="310"/>
      <c r="Y73" s="310"/>
      <c r="Z73" s="310"/>
      <c r="AA73" s="310"/>
      <c r="AB73" s="310"/>
      <c r="AC73" s="295"/>
      <c r="AE73" s="291"/>
      <c r="AG73" s="291"/>
    </row>
    <row r="74" spans="2:33">
      <c r="B74" s="282"/>
      <c r="C74" s="296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82"/>
      <c r="T74" s="282"/>
      <c r="U74" s="309"/>
      <c r="V74" s="309"/>
      <c r="W74" s="309"/>
      <c r="X74" s="309"/>
      <c r="Y74" s="309"/>
      <c r="Z74" s="309"/>
      <c r="AA74" s="309"/>
      <c r="AB74" s="309"/>
      <c r="AC74" s="282"/>
      <c r="AE74" s="291"/>
      <c r="AG74" s="291"/>
    </row>
    <row r="75" spans="2:33">
      <c r="B75" s="291" t="s">
        <v>426</v>
      </c>
      <c r="C75" s="289"/>
      <c r="D75" s="290">
        <v>0.6688326098687839</v>
      </c>
      <c r="E75" s="290">
        <v>0.17049016132484024</v>
      </c>
      <c r="F75" s="290">
        <v>7.7893603824068208E-2</v>
      </c>
      <c r="G75" s="290">
        <v>1.3554187110436397E-2</v>
      </c>
      <c r="H75" s="290">
        <v>6.5211028934720359E-3</v>
      </c>
      <c r="I75" s="290">
        <v>5.1416660004687954E-2</v>
      </c>
      <c r="J75" s="290">
        <v>1.1291674973711188E-2</v>
      </c>
      <c r="K75" s="290"/>
      <c r="L75" s="290">
        <v>0.67069318217732699</v>
      </c>
      <c r="M75" s="290">
        <v>0.17056123754337996</v>
      </c>
      <c r="N75" s="290">
        <v>7.7466619135832374E-2</v>
      </c>
      <c r="O75" s="290">
        <v>1.3043965250543131E-2</v>
      </c>
      <c r="P75" s="290">
        <v>6.4212122497328133E-3</v>
      </c>
      <c r="Q75" s="290">
        <v>5.1714778364699718E-2</v>
      </c>
      <c r="R75" s="290">
        <v>1.0099005278485023E-2</v>
      </c>
      <c r="S75" s="291"/>
      <c r="T75" s="291"/>
      <c r="U75" s="327"/>
      <c r="V75" s="327"/>
      <c r="W75" s="327"/>
      <c r="X75" s="327"/>
      <c r="Y75" s="327"/>
      <c r="Z75" s="327"/>
      <c r="AA75" s="327"/>
      <c r="AB75" s="327"/>
      <c r="AC75" s="291"/>
      <c r="AE75" s="291"/>
      <c r="AG75" s="291"/>
    </row>
    <row r="76" spans="2:33">
      <c r="B76" s="291" t="s">
        <v>426</v>
      </c>
      <c r="C76" s="90" t="s">
        <v>437</v>
      </c>
      <c r="D76" s="290">
        <v>1112822.3810328245</v>
      </c>
      <c r="E76" s="290">
        <v>283666.2932828599</v>
      </c>
      <c r="F76" s="290">
        <v>129601.55410444613</v>
      </c>
      <c r="G76" s="290">
        <v>22551.835168682061</v>
      </c>
      <c r="H76" s="290">
        <v>10849.993169886387</v>
      </c>
      <c r="I76" s="290">
        <v>85548.475308937734</v>
      </c>
      <c r="J76" s="290">
        <v>18787.404269297291</v>
      </c>
      <c r="K76" s="290"/>
      <c r="L76" s="290">
        <v>1215969.415377781</v>
      </c>
      <c r="M76" s="290">
        <v>309228.20421171369</v>
      </c>
      <c r="N76" s="290">
        <v>140447.28958790313</v>
      </c>
      <c r="O76" s="290">
        <v>23648.761045132345</v>
      </c>
      <c r="P76" s="290">
        <v>11641.683429636936</v>
      </c>
      <c r="Q76" s="290">
        <v>93759.099519054624</v>
      </c>
      <c r="R76" s="290">
        <v>18309.536865293172</v>
      </c>
      <c r="S76" s="291"/>
      <c r="T76" s="291"/>
      <c r="U76" s="327">
        <f>U$10*L76/L$10</f>
        <v>1294746.2470210954</v>
      </c>
      <c r="V76" s="327">
        <f t="shared" ref="V76" si="39">V$10*M76/M$10</f>
        <v>329261.61777827312</v>
      </c>
      <c r="W76" s="327">
        <f t="shared" ref="W76" si="40">W$10*N76/N$10</f>
        <v>149546.19647380424</v>
      </c>
      <c r="X76" s="327">
        <f t="shared" ref="X76" si="41">X$10*O76/O$10</f>
        <v>25180.85095123131</v>
      </c>
      <c r="Y76" s="327">
        <f t="shared" ref="Y76" si="42">Y$10*P76/P$10</f>
        <v>12395.892313498003</v>
      </c>
      <c r="Z76" s="327">
        <f t="shared" ref="Z76" si="43">Z$10*Q76/Q$10</f>
        <v>99833.302294579698</v>
      </c>
      <c r="AA76" s="327">
        <f t="shared" ref="AA76" si="44">AA$10*R76/R$10</f>
        <v>19495.724021699683</v>
      </c>
      <c r="AB76" s="327"/>
      <c r="AC76" s="291"/>
      <c r="AE76" s="291"/>
      <c r="AG76" s="291"/>
    </row>
    <row r="77" spans="2:33">
      <c r="B77" s="291" t="s">
        <v>426</v>
      </c>
      <c r="C77" s="289"/>
      <c r="D77" s="290">
        <v>8.2848080096194904E-2</v>
      </c>
      <c r="E77" s="290">
        <v>0.12779567973496381</v>
      </c>
      <c r="F77" s="290">
        <v>5.5317838464654913E-2</v>
      </c>
      <c r="G77" s="290">
        <v>2.905330465005259E-2</v>
      </c>
      <c r="H77" s="290">
        <v>1.3314691734487438E-2</v>
      </c>
      <c r="I77" s="290">
        <v>0.12165277800521353</v>
      </c>
      <c r="J77" s="290">
        <v>0.93076035487730446</v>
      </c>
      <c r="K77" s="290"/>
      <c r="L77" s="290">
        <v>9.0527233489178169E-2</v>
      </c>
      <c r="M77" s="290">
        <v>0.13931168237550332</v>
      </c>
      <c r="N77" s="290">
        <v>5.9947124337421061E-2</v>
      </c>
      <c r="O77" s="290">
        <v>3.046646333220247E-2</v>
      </c>
      <c r="P77" s="290">
        <v>1.4286223383653004E-2</v>
      </c>
      <c r="Q77" s="290">
        <v>0.13332855879160968</v>
      </c>
      <c r="R77" s="290">
        <v>0.90708598091059112</v>
      </c>
      <c r="S77" s="291"/>
      <c r="T77" s="291"/>
      <c r="U77" s="327"/>
      <c r="V77" s="327"/>
      <c r="W77" s="327"/>
      <c r="X77" s="327"/>
      <c r="Y77" s="327"/>
      <c r="Z77" s="327"/>
      <c r="AA77" s="327"/>
      <c r="AB77" s="327"/>
      <c r="AC77" s="291"/>
      <c r="AE77" s="291"/>
      <c r="AG77" s="291"/>
    </row>
    <row r="78" spans="2:33">
      <c r="B78" s="291" t="s">
        <v>426</v>
      </c>
      <c r="C78" s="289"/>
      <c r="D78" s="290">
        <v>6.8209924468414103E-4</v>
      </c>
      <c r="E78" s="290">
        <v>5.1786147716910988E-4</v>
      </c>
      <c r="F78" s="290">
        <v>1.3896846771323292E-4</v>
      </c>
      <c r="G78" s="290">
        <v>5.986737590955993E-5</v>
      </c>
      <c r="H78" s="290">
        <v>1.9938662138877125E-5</v>
      </c>
      <c r="I78" s="290">
        <v>5.5972024935985252E-4</v>
      </c>
      <c r="J78" s="290">
        <v>2.7020882174230462E-3</v>
      </c>
      <c r="K78" s="290"/>
      <c r="L78" s="290">
        <v>7.4532273426996805E-4</v>
      </c>
      <c r="M78" s="290">
        <v>5.6452732808739839E-4</v>
      </c>
      <c r="N78" s="290">
        <v>1.505980754889575E-4</v>
      </c>
      <c r="O78" s="290">
        <v>6.2779337321976127E-5</v>
      </c>
      <c r="P78" s="290">
        <v>2.1393524308893715E-5</v>
      </c>
      <c r="Q78" s="290">
        <v>6.1344011536202932E-4</v>
      </c>
      <c r="R78" s="290">
        <v>2.633359197525378E-3</v>
      </c>
      <c r="S78" s="291"/>
      <c r="T78" s="291"/>
      <c r="U78" s="327"/>
      <c r="V78" s="327"/>
      <c r="W78" s="327"/>
      <c r="X78" s="327"/>
      <c r="Y78" s="327"/>
      <c r="Z78" s="327"/>
      <c r="AA78" s="327"/>
      <c r="AB78" s="327"/>
      <c r="AC78" s="291"/>
      <c r="AE78" s="291"/>
      <c r="AG78" s="291"/>
    </row>
    <row r="79" spans="2:33">
      <c r="B79" s="295" t="s">
        <v>426</v>
      </c>
      <c r="C79" s="293"/>
      <c r="D79" s="294">
        <v>10.048811022490883</v>
      </c>
      <c r="E79" s="294">
        <v>13.628475493977094</v>
      </c>
      <c r="F79" s="294">
        <v>121.05852149712798</v>
      </c>
      <c r="G79" s="294">
        <v>339.40889049855951</v>
      </c>
      <c r="H79" s="294">
        <v>10849.993169886387</v>
      </c>
      <c r="I79" s="294">
        <v>16.640876718425698</v>
      </c>
      <c r="J79" s="294">
        <v>6.977701826804954</v>
      </c>
      <c r="K79" s="294"/>
      <c r="L79" s="294">
        <v>10.980231052613616</v>
      </c>
      <c r="M79" s="294">
        <v>14.856573032960091</v>
      </c>
      <c r="N79" s="294">
        <v>131.18933135700141</v>
      </c>
      <c r="O79" s="294">
        <v>355.9178083715571</v>
      </c>
      <c r="P79" s="294">
        <v>11641.683429636936</v>
      </c>
      <c r="Q79" s="294">
        <v>18.238006121006666</v>
      </c>
      <c r="R79" s="294">
        <v>6.8002203498486482</v>
      </c>
      <c r="S79" s="295"/>
      <c r="T79" s="295"/>
      <c r="U79" s="310"/>
      <c r="V79" s="310"/>
      <c r="W79" s="310"/>
      <c r="X79" s="310"/>
      <c r="Y79" s="310"/>
      <c r="Z79" s="310"/>
      <c r="AA79" s="310"/>
      <c r="AB79" s="310"/>
      <c r="AC79" s="295"/>
      <c r="AE79" s="291"/>
      <c r="AG79" s="291"/>
    </row>
    <row r="80" spans="2:33">
      <c r="B80" s="282"/>
      <c r="C80" s="296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82"/>
      <c r="T80" s="282"/>
      <c r="U80" s="309"/>
      <c r="V80" s="309"/>
      <c r="W80" s="309"/>
      <c r="X80" s="309"/>
      <c r="Y80" s="309"/>
      <c r="Z80" s="309"/>
      <c r="AA80" s="309"/>
      <c r="AB80" s="309"/>
      <c r="AC80" s="282"/>
      <c r="AE80" s="291"/>
      <c r="AG80" s="291"/>
    </row>
    <row r="81" spans="2:33">
      <c r="B81" s="291" t="s">
        <v>426</v>
      </c>
      <c r="C81" s="289"/>
      <c r="D81" s="290">
        <v>0.70497561700845923</v>
      </c>
      <c r="E81" s="290">
        <v>0.21402310765995008</v>
      </c>
      <c r="F81" s="290">
        <v>5.5557238069260419E-2</v>
      </c>
      <c r="G81" s="290">
        <v>1.6864614622850067E-2</v>
      </c>
      <c r="H81" s="290">
        <v>1.3214652654925851E-3</v>
      </c>
      <c r="I81" s="290">
        <v>6.381203143615643E-3</v>
      </c>
      <c r="J81" s="290">
        <v>8.7675423037240831E-4</v>
      </c>
      <c r="K81" s="290"/>
      <c r="L81" s="290">
        <v>0.70815599654648409</v>
      </c>
      <c r="M81" s="290">
        <v>0.21696154803708045</v>
      </c>
      <c r="N81" s="290">
        <v>5.3303873497580458E-2</v>
      </c>
      <c r="O81" s="290">
        <v>1.5808144917902382E-2</v>
      </c>
      <c r="P81" s="290">
        <v>8.4430553350830812E-4</v>
      </c>
      <c r="Q81" s="290">
        <v>4.5410435692665061E-3</v>
      </c>
      <c r="R81" s="290">
        <v>3.8508789817805227E-4</v>
      </c>
      <c r="S81" s="291"/>
      <c r="T81" s="291"/>
      <c r="U81" s="327"/>
      <c r="V81" s="327"/>
      <c r="W81" s="327"/>
      <c r="X81" s="327"/>
      <c r="Y81" s="327"/>
      <c r="Z81" s="327"/>
      <c r="AA81" s="327"/>
      <c r="AB81" s="327"/>
      <c r="AC81" s="291"/>
      <c r="AE81" s="291"/>
      <c r="AG81" s="291"/>
    </row>
    <row r="82" spans="2:33">
      <c r="B82" s="291" t="s">
        <v>426</v>
      </c>
      <c r="C82" s="90" t="s">
        <v>438</v>
      </c>
      <c r="D82" s="290">
        <v>3909387.3818968465</v>
      </c>
      <c r="E82" s="290">
        <v>1186848.4757964606</v>
      </c>
      <c r="F82" s="290">
        <v>308088.33701605827</v>
      </c>
      <c r="G82" s="290">
        <v>93521.407005388639</v>
      </c>
      <c r="H82" s="290">
        <v>7328.0827164688853</v>
      </c>
      <c r="I82" s="290">
        <v>35386.465076383123</v>
      </c>
      <c r="J82" s="290">
        <v>4861.972304499498</v>
      </c>
      <c r="K82" s="290"/>
      <c r="L82" s="290">
        <v>4604207.5913136946</v>
      </c>
      <c r="M82" s="290">
        <v>1410615.7560863434</v>
      </c>
      <c r="N82" s="290">
        <v>346565.02267982287</v>
      </c>
      <c r="O82" s="290">
        <v>102779.58697030612</v>
      </c>
      <c r="P82" s="290">
        <v>5489.4090648457022</v>
      </c>
      <c r="Q82" s="290">
        <v>29524.437237086458</v>
      </c>
      <c r="R82" s="290">
        <v>2503.7204129613556</v>
      </c>
      <c r="S82" s="291"/>
      <c r="T82" s="291"/>
      <c r="U82" s="327">
        <f>U$10*L82/L$10</f>
        <v>4902492.1383465677</v>
      </c>
      <c r="V82" s="327">
        <f t="shared" ref="V82" si="45">V$10*M82/M$10</f>
        <v>1502002.7914223399</v>
      </c>
      <c r="W82" s="327">
        <f t="shared" ref="W82" si="46">W$10*N82/N$10</f>
        <v>369017.30980139307</v>
      </c>
      <c r="X82" s="327">
        <f t="shared" ref="X82" si="47">X$10*O82/O$10</f>
        <v>109438.18390270814</v>
      </c>
      <c r="Y82" s="327">
        <f t="shared" ref="Y82" si="48">Y$10*P82/P$10</f>
        <v>5845.041573569848</v>
      </c>
      <c r="Z82" s="327">
        <f t="shared" ref="Z82" si="49">Z$10*Q82/Q$10</f>
        <v>31437.184048129366</v>
      </c>
      <c r="AA82" s="327">
        <f t="shared" ref="AA82" si="50">AA$10*R82/R$10</f>
        <v>2665.9244609903994</v>
      </c>
      <c r="AB82" s="327"/>
      <c r="AC82" s="291"/>
      <c r="AE82" s="291"/>
      <c r="AG82" s="291"/>
    </row>
    <row r="83" spans="2:33">
      <c r="B83" s="291" t="s">
        <v>426</v>
      </c>
      <c r="C83" s="289"/>
      <c r="D83" s="290">
        <v>0.29104845882219016</v>
      </c>
      <c r="E83" s="290">
        <v>0.5346920353190201</v>
      </c>
      <c r="F83" s="290">
        <v>0.13150136182906932</v>
      </c>
      <c r="G83" s="290">
        <v>0.12048269724862073</v>
      </c>
      <c r="H83" s="290">
        <v>8.9927395203724548E-3</v>
      </c>
      <c r="I83" s="290">
        <v>5.0320730612445221E-2</v>
      </c>
      <c r="J83" s="290">
        <v>0.24087047910790713</v>
      </c>
      <c r="K83" s="290"/>
      <c r="L83" s="290">
        <v>0.34277685801990904</v>
      </c>
      <c r="M83" s="290">
        <v>0.63550236197483656</v>
      </c>
      <c r="N83" s="290">
        <v>0.14792436768660799</v>
      </c>
      <c r="O83" s="290">
        <v>0.13240991829355356</v>
      </c>
      <c r="P83" s="290">
        <v>6.7363903698832309E-3</v>
      </c>
      <c r="Q83" s="290">
        <v>4.1984732000909082E-2</v>
      </c>
      <c r="R83" s="290">
        <v>0.12403862006045104</v>
      </c>
      <c r="S83" s="291"/>
      <c r="T83" s="291"/>
      <c r="U83" s="327"/>
      <c r="V83" s="327"/>
      <c r="W83" s="327"/>
      <c r="X83" s="327"/>
      <c r="Y83" s="327"/>
      <c r="Z83" s="327"/>
      <c r="AA83" s="327"/>
      <c r="AB83" s="327"/>
      <c r="AC83" s="291"/>
      <c r="AE83" s="291"/>
      <c r="AG83" s="291"/>
    </row>
    <row r="84" spans="2:33">
      <c r="B84" s="291" t="s">
        <v>426</v>
      </c>
      <c r="C84" s="289"/>
      <c r="D84" s="290">
        <v>2.3962406093006993E-3</v>
      </c>
      <c r="E84" s="290">
        <v>2.1667117997660221E-3</v>
      </c>
      <c r="F84" s="290">
        <v>3.3035532954284928E-4</v>
      </c>
      <c r="G84" s="290">
        <v>2.4826721137789136E-4</v>
      </c>
      <c r="H84" s="290">
        <v>1.346656750116166E-5</v>
      </c>
      <c r="I84" s="290">
        <v>2.3152395159575188E-4</v>
      </c>
      <c r="J84" s="290">
        <v>6.9927052663122647E-4</v>
      </c>
      <c r="K84" s="290"/>
      <c r="L84" s="290">
        <v>2.8221273888194959E-3</v>
      </c>
      <c r="M84" s="290">
        <v>2.575221577124314E-3</v>
      </c>
      <c r="N84" s="290">
        <v>3.7161290616934475E-4</v>
      </c>
      <c r="O84" s="290">
        <v>2.728444990377347E-4</v>
      </c>
      <c r="P84" s="290">
        <v>1.0087699685362473E-5</v>
      </c>
      <c r="Q84" s="290">
        <v>1.9317030856334669E-4</v>
      </c>
      <c r="R84" s="290">
        <v>3.6009622886757015E-4</v>
      </c>
      <c r="S84" s="291"/>
      <c r="T84" s="291"/>
      <c r="U84" s="327"/>
      <c r="V84" s="327"/>
      <c r="W84" s="327"/>
      <c r="X84" s="327"/>
      <c r="Y84" s="327"/>
      <c r="Z84" s="327"/>
      <c r="AA84" s="327"/>
      <c r="AB84" s="327"/>
      <c r="AC84" s="291"/>
      <c r="AE84" s="291"/>
      <c r="AG84" s="291"/>
    </row>
    <row r="85" spans="2:33">
      <c r="B85" s="295" t="s">
        <v>426</v>
      </c>
      <c r="C85" s="293"/>
      <c r="D85" s="294">
        <v>35.30185560963573</v>
      </c>
      <c r="E85" s="294">
        <v>57.020998794972002</v>
      </c>
      <c r="F85" s="294">
        <v>287.77987137110568</v>
      </c>
      <c r="G85" s="294">
        <v>1407.5128144623711</v>
      </c>
      <c r="H85" s="294">
        <v>7328.0827164688853</v>
      </c>
      <c r="I85" s="294">
        <v>6.8833699339518937</v>
      </c>
      <c r="J85" s="294">
        <v>1.8057520104798468</v>
      </c>
      <c r="K85" s="294"/>
      <c r="L85" s="294">
        <v>41.57609766123543</v>
      </c>
      <c r="M85" s="294">
        <v>67.771683553783419</v>
      </c>
      <c r="N85" s="294">
        <v>323.72026352729273</v>
      </c>
      <c r="O85" s="294">
        <v>1546.8499711250088</v>
      </c>
      <c r="P85" s="294">
        <v>5489.4090648457022</v>
      </c>
      <c r="Q85" s="294">
        <v>5.7430891488012596</v>
      </c>
      <c r="R85" s="294">
        <v>0.92988974149448833</v>
      </c>
      <c r="S85" s="295"/>
      <c r="T85" s="295"/>
      <c r="U85" s="310"/>
      <c r="V85" s="310"/>
      <c r="W85" s="310"/>
      <c r="X85" s="310"/>
      <c r="Y85" s="310"/>
      <c r="Z85" s="310"/>
      <c r="AA85" s="310"/>
      <c r="AB85" s="310"/>
      <c r="AC85" s="295"/>
      <c r="AE85" s="291"/>
      <c r="AG85" s="291"/>
    </row>
    <row r="86" spans="2:33">
      <c r="B86" s="282"/>
      <c r="C86" s="282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82"/>
      <c r="T86" s="282"/>
      <c r="U86" s="309"/>
      <c r="V86" s="309"/>
      <c r="W86" s="309"/>
      <c r="X86" s="309"/>
      <c r="Y86" s="309"/>
      <c r="Z86" s="309"/>
      <c r="AA86" s="309"/>
      <c r="AB86" s="309"/>
      <c r="AC86" s="282"/>
      <c r="AE86" s="291"/>
      <c r="AG86" s="291"/>
    </row>
    <row r="87" spans="2:33">
      <c r="B87" s="291" t="s">
        <v>426</v>
      </c>
      <c r="C87" s="291"/>
      <c r="D87" s="290">
        <v>0.80384186230705357</v>
      </c>
      <c r="E87" s="290">
        <v>0.12961162481452657</v>
      </c>
      <c r="F87" s="290">
        <v>1.527602020235129E-2</v>
      </c>
      <c r="G87" s="290">
        <v>8.9980787796645027E-3</v>
      </c>
      <c r="H87" s="290">
        <v>7.0156376805398492E-3</v>
      </c>
      <c r="I87" s="290">
        <v>2.2684514418588066E-2</v>
      </c>
      <c r="J87" s="290">
        <v>1.2572261797276E-2</v>
      </c>
      <c r="K87" s="290"/>
      <c r="L87" s="290">
        <v>0.80411854606470345</v>
      </c>
      <c r="M87" s="290">
        <v>0.12969513756136813</v>
      </c>
      <c r="N87" s="290">
        <v>1.4877364204563827E-2</v>
      </c>
      <c r="O87" s="290">
        <v>8.993013020204282E-3</v>
      </c>
      <c r="P87" s="290">
        <v>7.0029055527828744E-3</v>
      </c>
      <c r="Q87" s="290">
        <v>2.2711931966230899E-2</v>
      </c>
      <c r="R87" s="290">
        <v>1.2601101630146619E-2</v>
      </c>
      <c r="S87" s="291"/>
      <c r="T87" s="291"/>
      <c r="U87" s="327"/>
      <c r="V87" s="327"/>
      <c r="W87" s="327"/>
      <c r="X87" s="327"/>
      <c r="Y87" s="327"/>
      <c r="Z87" s="327"/>
      <c r="AA87" s="327"/>
      <c r="AB87" s="327"/>
      <c r="AC87" s="291"/>
      <c r="AE87" s="291"/>
      <c r="AG87" s="291"/>
    </row>
    <row r="88" spans="2:33">
      <c r="B88" s="291" t="s">
        <v>426</v>
      </c>
      <c r="C88" s="90" t="s">
        <v>432</v>
      </c>
      <c r="D88" s="290">
        <v>7570608.6746200575</v>
      </c>
      <c r="E88" s="290">
        <v>1220686.4772335519</v>
      </c>
      <c r="F88" s="290">
        <v>143870.0526564715</v>
      </c>
      <c r="G88" s="290">
        <v>84744.197159293661</v>
      </c>
      <c r="H88" s="290">
        <v>66073.502728324209</v>
      </c>
      <c r="I88" s="290">
        <v>213643.49095233681</v>
      </c>
      <c r="J88" s="290">
        <v>118405.96849345855</v>
      </c>
      <c r="K88" s="290"/>
      <c r="L88" s="290">
        <v>7591062.5194729362</v>
      </c>
      <c r="M88" s="290">
        <v>1224351.6861017263</v>
      </c>
      <c r="N88" s="290">
        <v>140445.71208375716</v>
      </c>
      <c r="O88" s="290">
        <v>84896.094498623555</v>
      </c>
      <c r="P88" s="290">
        <v>66109.026000329934</v>
      </c>
      <c r="Q88" s="290">
        <v>214405.81906414809</v>
      </c>
      <c r="R88" s="290">
        <v>118957.27409448205</v>
      </c>
      <c r="S88" s="291"/>
      <c r="T88" s="291"/>
      <c r="U88" s="327">
        <f>U$10*L88/L$10</f>
        <v>8082851.0846521063</v>
      </c>
      <c r="V88" s="327">
        <f t="shared" ref="V88" si="51">V$10*M88/M$10</f>
        <v>1303671.5648984131</v>
      </c>
      <c r="W88" s="327">
        <f t="shared" ref="W88" si="52">W$10*N88/N$10</f>
        <v>149544.51677072386</v>
      </c>
      <c r="X88" s="327">
        <f t="shared" ref="X88" si="53">X$10*O88/O$10</f>
        <v>90396.10564932767</v>
      </c>
      <c r="Y88" s="327">
        <f t="shared" ref="Y88" si="54">Y$10*P88/P$10</f>
        <v>70391.913008399526</v>
      </c>
      <c r="Z88" s="327">
        <f t="shared" ref="Z88" si="55">Z$10*Q88/Q$10</f>
        <v>228296.14467444792</v>
      </c>
      <c r="AA88" s="327">
        <f t="shared" ref="AA88" si="56">AA$10*R88/R$10</f>
        <v>126663.94585413084</v>
      </c>
      <c r="AB88" s="327"/>
      <c r="AC88" s="291"/>
      <c r="AE88" s="291"/>
      <c r="AG88" s="291"/>
    </row>
    <row r="89" spans="2:33">
      <c r="B89" s="291" t="s">
        <v>426</v>
      </c>
      <c r="C89" s="291"/>
      <c r="D89" s="290">
        <v>0.56362129711099862</v>
      </c>
      <c r="E89" s="290">
        <v>0.54993653386158647</v>
      </c>
      <c r="F89" s="290">
        <v>6.1408062486181705E-2</v>
      </c>
      <c r="G89" s="290">
        <v>0.10917510521769951</v>
      </c>
      <c r="H89" s="290">
        <v>8.1082845571474549E-2</v>
      </c>
      <c r="I89" s="290">
        <v>0.30380815184871118</v>
      </c>
      <c r="J89" s="290">
        <v>5.8660355456695843</v>
      </c>
      <c r="K89" s="290"/>
      <c r="L89" s="290">
        <v>0.56514405744142415</v>
      </c>
      <c r="M89" s="290">
        <v>0.5515877623288753</v>
      </c>
      <c r="N89" s="290">
        <v>5.9946451011239694E-2</v>
      </c>
      <c r="O89" s="290">
        <v>0.10937079304718543</v>
      </c>
      <c r="P89" s="290">
        <v>8.1126438356165814E-2</v>
      </c>
      <c r="Q89" s="290">
        <v>0.30489220778563358</v>
      </c>
      <c r="R89" s="290">
        <v>5.8933481743594909</v>
      </c>
      <c r="S89" s="291"/>
      <c r="T89" s="291"/>
      <c r="U89" s="327"/>
      <c r="V89" s="327"/>
      <c r="W89" s="327"/>
      <c r="X89" s="327"/>
      <c r="Y89" s="327"/>
      <c r="Z89" s="327"/>
      <c r="AA89" s="327"/>
      <c r="AB89" s="327"/>
      <c r="AC89" s="291"/>
      <c r="AE89" s="291"/>
      <c r="AG89" s="291"/>
    </row>
    <row r="90" spans="2:33">
      <c r="B90" s="291" t="s">
        <v>426</v>
      </c>
      <c r="C90" s="291"/>
      <c r="D90" s="290">
        <v>4.6403689814046153E-3</v>
      </c>
      <c r="E90" s="290">
        <v>2.2284864900398117E-3</v>
      </c>
      <c r="F90" s="290">
        <v>1.5426821773587113E-4</v>
      </c>
      <c r="G90" s="290">
        <v>2.2496673417224993E-4</v>
      </c>
      <c r="H90" s="290">
        <v>1.2142102088033179E-4</v>
      </c>
      <c r="I90" s="290">
        <v>1.3978108621821119E-3</v>
      </c>
      <c r="J90" s="290">
        <v>1.7029674123827523E-2</v>
      </c>
      <c r="K90" s="290"/>
      <c r="L90" s="290">
        <v>4.6529060694096994E-3</v>
      </c>
      <c r="M90" s="290">
        <v>2.2351776991244008E-3</v>
      </c>
      <c r="N90" s="290">
        <v>1.5059638397117061E-4</v>
      </c>
      <c r="O90" s="290">
        <v>2.2536996943205501E-4</v>
      </c>
      <c r="P90" s="290">
        <v>1.2148630078489021E-4</v>
      </c>
      <c r="Q90" s="290">
        <v>1.4027985662796558E-3</v>
      </c>
      <c r="R90" s="290">
        <v>1.7108965352534374E-2</v>
      </c>
      <c r="S90" s="291"/>
      <c r="T90" s="291"/>
      <c r="U90" s="327"/>
      <c r="V90" s="327"/>
      <c r="W90" s="327"/>
      <c r="X90" s="327"/>
      <c r="Y90" s="327"/>
      <c r="Z90" s="327"/>
      <c r="AA90" s="327"/>
      <c r="AB90" s="327"/>
      <c r="AC90" s="291"/>
      <c r="AE90" s="291"/>
      <c r="AG90" s="291"/>
    </row>
    <row r="91" spans="2:33">
      <c r="B91" s="295" t="s">
        <v>426</v>
      </c>
      <c r="C91" s="295"/>
      <c r="D91" s="294">
        <v>68.362765876330045</v>
      </c>
      <c r="E91" s="294">
        <v>58.646713179340928</v>
      </c>
      <c r="F91" s="294">
        <v>134.38647385563172</v>
      </c>
      <c r="G91" s="294">
        <v>1275.4143385177979</v>
      </c>
      <c r="H91" s="294">
        <v>66073.502728324209</v>
      </c>
      <c r="I91" s="294">
        <v>41.557900147175381</v>
      </c>
      <c r="J91" s="294">
        <v>43.976354094408279</v>
      </c>
      <c r="K91" s="294"/>
      <c r="L91" s="294">
        <v>68.54746455341737</v>
      </c>
      <c r="M91" s="294">
        <v>58.822804630539231</v>
      </c>
      <c r="N91" s="294">
        <v>131.18785783825479</v>
      </c>
      <c r="O91" s="294">
        <v>1277.7004188756057</v>
      </c>
      <c r="P91" s="294">
        <v>66109.026000329934</v>
      </c>
      <c r="Q91" s="294">
        <v>41.70618809832623</v>
      </c>
      <c r="R91" s="294">
        <v>44.181110751807516</v>
      </c>
      <c r="S91" s="295"/>
      <c r="T91" s="295"/>
      <c r="U91" s="310"/>
      <c r="V91" s="310"/>
      <c r="W91" s="310"/>
      <c r="X91" s="310"/>
      <c r="Y91" s="310"/>
      <c r="Z91" s="310"/>
      <c r="AA91" s="310"/>
      <c r="AB91" s="310"/>
      <c r="AC91" s="295"/>
      <c r="AE91" s="291"/>
      <c r="AG91" s="291"/>
    </row>
    <row r="92" spans="2:33">
      <c r="B92" s="282"/>
      <c r="C92" s="282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1"/>
      <c r="T92" s="291"/>
      <c r="U92" s="327"/>
      <c r="V92" s="327"/>
      <c r="W92" s="327"/>
      <c r="X92" s="327"/>
      <c r="Y92" s="327"/>
      <c r="Z92" s="327"/>
      <c r="AA92" s="327"/>
      <c r="AB92" s="327"/>
      <c r="AC92" s="291"/>
      <c r="AE92" s="291"/>
      <c r="AG92" s="291"/>
    </row>
    <row r="93" spans="2:33">
      <c r="B93" s="291" t="s">
        <v>426</v>
      </c>
      <c r="C93" s="291"/>
      <c r="D93" s="290">
        <v>0.48121763572264181</v>
      </c>
      <c r="E93" s="290">
        <v>0.14024764294922648</v>
      </c>
      <c r="F93" s="290">
        <v>0.18210869264283511</v>
      </c>
      <c r="G93" s="290">
        <v>7.0229964703878281E-2</v>
      </c>
      <c r="H93" s="290">
        <v>8.1939710394762333E-2</v>
      </c>
      <c r="I93" s="290">
        <v>4.0734467862890866E-2</v>
      </c>
      <c r="J93" s="290">
        <v>3.5218857237652736E-3</v>
      </c>
      <c r="K93" s="290"/>
      <c r="L93" s="290">
        <v>0.48119129889263723</v>
      </c>
      <c r="M93" s="290">
        <v>0.14023784922801971</v>
      </c>
      <c r="N93" s="290">
        <v>0.1821235368186454</v>
      </c>
      <c r="O93" s="290">
        <v>7.0237062926984256E-2</v>
      </c>
      <c r="P93" s="290">
        <v>8.1957264840298194E-2</v>
      </c>
      <c r="Q93" s="290">
        <v>4.073260868613432E-2</v>
      </c>
      <c r="R93" s="290">
        <v>3.5203786072808547E-3</v>
      </c>
      <c r="S93" s="291"/>
      <c r="T93" s="291"/>
      <c r="U93" s="327"/>
      <c r="V93" s="327"/>
      <c r="W93" s="327"/>
      <c r="X93" s="327"/>
      <c r="Y93" s="327"/>
      <c r="Z93" s="327"/>
      <c r="AA93" s="327"/>
      <c r="AB93" s="327"/>
      <c r="AC93" s="291"/>
      <c r="AE93" s="291"/>
      <c r="AG93" s="291"/>
    </row>
    <row r="94" spans="2:33">
      <c r="B94" s="291" t="s">
        <v>426</v>
      </c>
      <c r="C94" s="90" t="s">
        <v>433</v>
      </c>
      <c r="D94" s="290">
        <v>8229236.6390650328</v>
      </c>
      <c r="E94" s="290">
        <v>2398355.6632689354</v>
      </c>
      <c r="F94" s="290">
        <v>3114215.7197505636</v>
      </c>
      <c r="G94" s="290">
        <v>1200992.9724074046</v>
      </c>
      <c r="H94" s="290">
        <v>1401239.7238151128</v>
      </c>
      <c r="I94" s="290">
        <v>696594.53545739304</v>
      </c>
      <c r="J94" s="290">
        <v>60227.283634537867</v>
      </c>
      <c r="K94" s="290"/>
      <c r="L94" s="290">
        <v>8578435.2651642244</v>
      </c>
      <c r="M94" s="290">
        <v>2500089.4947538204</v>
      </c>
      <c r="N94" s="290">
        <v>3246806.3625774099</v>
      </c>
      <c r="O94" s="290">
        <v>1252150.8575092398</v>
      </c>
      <c r="P94" s="290">
        <v>1461092.6934056741</v>
      </c>
      <c r="Q94" s="290">
        <v>726160.35992211883</v>
      </c>
      <c r="R94" s="290">
        <v>62759.530483874871</v>
      </c>
      <c r="S94" s="291"/>
      <c r="T94" s="291"/>
      <c r="U94" s="327">
        <f>U$10*L94/L$10</f>
        <v>9134190.9791654348</v>
      </c>
      <c r="V94" s="327">
        <f t="shared" ref="V94" si="57">V$10*M94/M$10</f>
        <v>2662058.3129911209</v>
      </c>
      <c r="W94" s="327">
        <f t="shared" ref="W94" si="58">W$10*N94/N$10</f>
        <v>3457151.3885036898</v>
      </c>
      <c r="X94" s="327">
        <f t="shared" ref="X94" si="59">X$10*O94/O$10</f>
        <v>1333271.7114111374</v>
      </c>
      <c r="Y94" s="327">
        <f t="shared" ref="Y94" si="60">Y$10*P94/P$10</f>
        <v>1555749.8876311849</v>
      </c>
      <c r="Z94" s="327">
        <f t="shared" ref="Z94" si="61">Z$10*Q94/Q$10</f>
        <v>773204.80996847199</v>
      </c>
      <c r="AA94" s="327">
        <f t="shared" ref="AA94" si="62">AA$10*R94/R$10</f>
        <v>66825.419727812507</v>
      </c>
      <c r="AB94" s="327"/>
      <c r="AC94" s="291"/>
      <c r="AE94" s="291"/>
      <c r="AG94" s="291"/>
    </row>
    <row r="95" spans="2:33">
      <c r="B95" s="291" t="s">
        <v>426</v>
      </c>
      <c r="C95" s="291"/>
      <c r="D95" s="290">
        <v>0.61265523395659627</v>
      </c>
      <c r="E95" s="290">
        <v>1.0804931692325721</v>
      </c>
      <c r="F95" s="290">
        <v>1.329240866898993</v>
      </c>
      <c r="G95" s="290">
        <v>1.547227285448614</v>
      </c>
      <c r="H95" s="290">
        <v>1.719547162527099</v>
      </c>
      <c r="I95" s="290">
        <v>0.99058060445397011</v>
      </c>
      <c r="J95" s="290">
        <v>2.9837633281031883</v>
      </c>
      <c r="K95" s="290"/>
      <c r="L95" s="290">
        <v>0.63865258648800061</v>
      </c>
      <c r="M95" s="290">
        <v>1.1263257001131055</v>
      </c>
      <c r="N95" s="290">
        <v>1.3858345382673876</v>
      </c>
      <c r="O95" s="290">
        <v>1.6131334793347794</v>
      </c>
      <c r="P95" s="290">
        <v>1.7929964105601575</v>
      </c>
      <c r="Q95" s="290">
        <v>1.0326241904694957</v>
      </c>
      <c r="R95" s="290">
        <v>3.1092151969373285</v>
      </c>
      <c r="S95" s="291"/>
      <c r="T95" s="291"/>
      <c r="U95" s="327"/>
      <c r="V95" s="327"/>
      <c r="W95" s="327"/>
      <c r="X95" s="327"/>
      <c r="Y95" s="327"/>
      <c r="Z95" s="327"/>
      <c r="AA95" s="327"/>
      <c r="AB95" s="327"/>
      <c r="AC95" s="291"/>
      <c r="AE95" s="291"/>
      <c r="AG95" s="291"/>
    </row>
    <row r="96" spans="2:33">
      <c r="B96" s="291" t="s">
        <v>426</v>
      </c>
      <c r="C96" s="291"/>
      <c r="D96" s="290">
        <v>5.0440718945854385E-3</v>
      </c>
      <c r="E96" s="290">
        <v>4.378440568964131E-3</v>
      </c>
      <c r="F96" s="290">
        <v>3.3392947306281695E-3</v>
      </c>
      <c r="G96" s="290">
        <v>3.1882238055598432E-3</v>
      </c>
      <c r="H96" s="290">
        <v>2.5750104162522332E-3</v>
      </c>
      <c r="I96" s="290">
        <v>4.5576273064002557E-3</v>
      </c>
      <c r="J96" s="290">
        <v>8.6621563651681395E-3</v>
      </c>
      <c r="K96" s="290"/>
      <c r="L96" s="290">
        <v>5.2581115501196245E-3</v>
      </c>
      <c r="M96" s="290">
        <v>4.5641659565000469E-3</v>
      </c>
      <c r="N96" s="290">
        <v>3.4814683225583244E-3</v>
      </c>
      <c r="O96" s="290">
        <v>3.3240304179805841E-3</v>
      </c>
      <c r="P96" s="290">
        <v>2.68500017569161E-3</v>
      </c>
      <c r="Q96" s="290">
        <v>4.7510684002615398E-3</v>
      </c>
      <c r="R96" s="290">
        <v>9.0263553932575097E-3</v>
      </c>
      <c r="S96" s="291"/>
      <c r="T96" s="291"/>
      <c r="U96" s="327"/>
      <c r="V96" s="327"/>
      <c r="W96" s="327"/>
      <c r="X96" s="327"/>
      <c r="Y96" s="327"/>
      <c r="Z96" s="327"/>
      <c r="AA96" s="327"/>
      <c r="AB96" s="327"/>
      <c r="AC96" s="291"/>
      <c r="AE96" s="291"/>
      <c r="AG96" s="291"/>
    </row>
    <row r="97" spans="2:33">
      <c r="B97" s="295" t="s">
        <v>426</v>
      </c>
      <c r="C97" s="295"/>
      <c r="D97" s="290">
        <v>74.310191145304927</v>
      </c>
      <c r="E97" s="290">
        <v>115.22670178549853</v>
      </c>
      <c r="F97" s="290">
        <v>2908.9338724463955</v>
      </c>
      <c r="G97" s="290">
        <v>18075.145069676662</v>
      </c>
      <c r="H97" s="290">
        <v>1401239.7238151128</v>
      </c>
      <c r="I97" s="290">
        <v>135.50146563587464</v>
      </c>
      <c r="J97" s="290">
        <v>22.368605104590831</v>
      </c>
      <c r="K97" s="290"/>
      <c r="L97" s="290">
        <v>77.463462559317506</v>
      </c>
      <c r="M97" s="290">
        <v>120.1144063247108</v>
      </c>
      <c r="N97" s="290">
        <v>3032.7844488988667</v>
      </c>
      <c r="O97" s="290">
        <v>18845.079795289566</v>
      </c>
      <c r="P97" s="290">
        <v>1461092.6934056741</v>
      </c>
      <c r="Q97" s="290">
        <v>141.25260542205285</v>
      </c>
      <c r="R97" s="290">
        <v>23.309089655477688</v>
      </c>
      <c r="S97" s="291"/>
      <c r="T97" s="291"/>
      <c r="U97" s="327"/>
      <c r="V97" s="327"/>
      <c r="W97" s="327"/>
      <c r="X97" s="327"/>
      <c r="Y97" s="327"/>
      <c r="Z97" s="327"/>
      <c r="AA97" s="327"/>
      <c r="AB97" s="327"/>
      <c r="AC97" s="291"/>
      <c r="AE97" s="291"/>
      <c r="AG97" s="291"/>
    </row>
    <row r="98" spans="2:33">
      <c r="B98" s="282"/>
      <c r="C98" s="282"/>
      <c r="D98" s="298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E98" s="291"/>
      <c r="AG98" s="291"/>
    </row>
    <row r="99" spans="2:33">
      <c r="B99" s="291" t="s">
        <v>426</v>
      </c>
      <c r="C99" s="227" t="s">
        <v>439</v>
      </c>
      <c r="D99" s="299">
        <f>SUMIFS(D$8:D$97,$C$8:$C$97,$C99)</f>
        <v>19429677.200133171</v>
      </c>
      <c r="E99" s="299">
        <f t="shared" ref="E99:R109" si="63">SUMIFS(E$8:E$97,$C$8:$C$97,$C99)</f>
        <v>5229341.6366228145</v>
      </c>
      <c r="F99" s="299">
        <f t="shared" si="63"/>
        <v>8866166.2258062214</v>
      </c>
      <c r="G99" s="299">
        <f t="shared" si="63"/>
        <v>3488314.0646668985</v>
      </c>
      <c r="H99" s="299">
        <f t="shared" si="63"/>
        <v>4598635.0623242129</v>
      </c>
      <c r="I99" s="299">
        <f t="shared" si="63"/>
        <v>1660841.4485781966</v>
      </c>
      <c r="J99" s="299">
        <f t="shared" si="63"/>
        <v>10146.669449728208</v>
      </c>
      <c r="K99" s="299"/>
      <c r="L99" s="299">
        <f t="shared" si="63"/>
        <v>21799060.518397648</v>
      </c>
      <c r="M99" s="299">
        <f t="shared" si="63"/>
        <v>5861119.1942706555</v>
      </c>
      <c r="N99" s="299">
        <f t="shared" si="63"/>
        <v>9895427.2067047767</v>
      </c>
      <c r="O99" s="299">
        <f t="shared" si="63"/>
        <v>3893317.9790927698</v>
      </c>
      <c r="P99" s="299">
        <f t="shared" si="63"/>
        <v>5132454.4385960773</v>
      </c>
      <c r="Q99" s="299">
        <f t="shared" si="63"/>
        <v>1858585.1466844792</v>
      </c>
      <c r="R99" s="299">
        <f t="shared" si="63"/>
        <v>14866.636136251131</v>
      </c>
      <c r="S99" s="299"/>
      <c r="T99" s="299"/>
      <c r="U99" s="291">
        <f t="shared" ref="U99:AA109" si="64">SUMIFS(U$8:U$97,$C$8:$C$97,$C99)</f>
        <v>23211317.190911658</v>
      </c>
      <c r="V99" s="299">
        <f t="shared" si="64"/>
        <v>6240833.0210900651</v>
      </c>
      <c r="W99" s="299">
        <f t="shared" si="64"/>
        <v>10536504.517731607</v>
      </c>
      <c r="X99" s="299">
        <f t="shared" si="64"/>
        <v>4145547.3946472658</v>
      </c>
      <c r="Y99" s="299">
        <f t="shared" si="64"/>
        <v>5464961.5675690947</v>
      </c>
      <c r="Z99" s="299">
        <f t="shared" si="64"/>
        <v>1978993.9722219533</v>
      </c>
      <c r="AA99" s="299">
        <f t="shared" si="64"/>
        <v>15829.774252388708</v>
      </c>
      <c r="AB99" s="299"/>
      <c r="AC99" s="299"/>
      <c r="AE99" s="291"/>
      <c r="AG99" s="291"/>
    </row>
    <row r="100" spans="2:33">
      <c r="B100" s="291" t="s">
        <v>426</v>
      </c>
      <c r="C100" s="227" t="s">
        <v>440</v>
      </c>
      <c r="D100" s="299">
        <f t="shared" ref="D100:D109" si="65">SUMIFS(D$8:D$97,$C$8:$C$97,$C100)</f>
        <v>79672471.695470676</v>
      </c>
      <c r="E100" s="299">
        <f t="shared" si="63"/>
        <v>26853863.560690694</v>
      </c>
      <c r="F100" s="299">
        <f t="shared" si="63"/>
        <v>45853487.103811562</v>
      </c>
      <c r="G100" s="299">
        <f t="shared" si="63"/>
        <v>18469019.859829172</v>
      </c>
      <c r="H100" s="299">
        <f t="shared" si="63"/>
        <v>26150873.501933157</v>
      </c>
      <c r="I100" s="299">
        <f t="shared" si="63"/>
        <v>7490684.2078461535</v>
      </c>
      <c r="J100" s="299">
        <f t="shared" si="63"/>
        <v>332310.34109765256</v>
      </c>
      <c r="K100" s="299"/>
      <c r="L100" s="299">
        <f t="shared" si="63"/>
        <v>80376705.721913934</v>
      </c>
      <c r="M100" s="299">
        <f t="shared" si="63"/>
        <v>27094184.297839969</v>
      </c>
      <c r="N100" s="299">
        <f t="shared" si="63"/>
        <v>46263640.479079358</v>
      </c>
      <c r="O100" s="299">
        <f t="shared" si="63"/>
        <v>18634416.42291382</v>
      </c>
      <c r="P100" s="299">
        <f t="shared" si="63"/>
        <v>26385858.81365991</v>
      </c>
      <c r="Q100" s="299">
        <f t="shared" si="63"/>
        <v>7557232.6752561517</v>
      </c>
      <c r="R100" s="299">
        <f t="shared" si="63"/>
        <v>335438.22625664319</v>
      </c>
      <c r="S100" s="299"/>
      <c r="T100" s="299"/>
      <c r="U100" s="291">
        <f t="shared" si="64"/>
        <v>85583927.330141842</v>
      </c>
      <c r="V100" s="299">
        <f t="shared" si="64"/>
        <v>28849486.666428532</v>
      </c>
      <c r="W100" s="299">
        <f t="shared" si="64"/>
        <v>49260840.055924773</v>
      </c>
      <c r="X100" s="299">
        <f t="shared" si="64"/>
        <v>19841650.969074853</v>
      </c>
      <c r="Y100" s="299">
        <f t="shared" si="64"/>
        <v>28095272.168338869</v>
      </c>
      <c r="Z100" s="299">
        <f t="shared" si="64"/>
        <v>8046829.5669370554</v>
      </c>
      <c r="AA100" s="299">
        <f t="shared" si="64"/>
        <v>357169.66155622416</v>
      </c>
      <c r="AB100" s="299"/>
      <c r="AC100" s="299"/>
      <c r="AE100" s="291"/>
      <c r="AG100" s="291"/>
    </row>
    <row r="101" spans="2:33">
      <c r="B101" s="291" t="s">
        <v>426</v>
      </c>
      <c r="C101" s="90" t="s">
        <v>441</v>
      </c>
      <c r="D101" s="299">
        <f t="shared" si="65"/>
        <v>20464794.889449865</v>
      </c>
      <c r="E101" s="299">
        <f t="shared" si="63"/>
        <v>7501309.4015307538</v>
      </c>
      <c r="F101" s="299">
        <f t="shared" si="63"/>
        <v>15037525.343626849</v>
      </c>
      <c r="G101" s="299">
        <f t="shared" si="63"/>
        <v>6069884.2759030284</v>
      </c>
      <c r="H101" s="299">
        <f t="shared" si="63"/>
        <v>7982565.0580642764</v>
      </c>
      <c r="I101" s="299">
        <f t="shared" si="63"/>
        <v>2184659.6610886841</v>
      </c>
      <c r="J101" s="299">
        <f t="shared" si="63"/>
        <v>-102644.62400808027</v>
      </c>
      <c r="K101" s="299"/>
      <c r="L101" s="299">
        <f t="shared" si="63"/>
        <v>25396937.823682655</v>
      </c>
      <c r="M101" s="299">
        <f t="shared" si="63"/>
        <v>9040726.8452049829</v>
      </c>
      <c r="N101" s="299">
        <f t="shared" si="63"/>
        <v>17571846.697853748</v>
      </c>
      <c r="O101" s="299">
        <f t="shared" si="63"/>
        <v>7087912.0226090876</v>
      </c>
      <c r="P101" s="299">
        <f t="shared" si="63"/>
        <v>9320282.4412308261</v>
      </c>
      <c r="Q101" s="299">
        <f t="shared" si="63"/>
        <v>2620474.8287319988</v>
      </c>
      <c r="R101" s="299">
        <f t="shared" si="63"/>
        <v>-83295.338736790814</v>
      </c>
      <c r="S101" s="299"/>
      <c r="T101" s="299"/>
      <c r="U101" s="291">
        <f t="shared" si="64"/>
        <v>27042283.726211287</v>
      </c>
      <c r="V101" s="299">
        <f t="shared" si="64"/>
        <v>9626432.2154314499</v>
      </c>
      <c r="W101" s="299">
        <f t="shared" si="64"/>
        <v>18710242.443234306</v>
      </c>
      <c r="X101" s="299">
        <f t="shared" si="64"/>
        <v>7547103.8781330399</v>
      </c>
      <c r="Y101" s="299">
        <f t="shared" si="64"/>
        <v>9924098.8789270557</v>
      </c>
      <c r="Z101" s="299">
        <f t="shared" si="64"/>
        <v>2790242.8358857217</v>
      </c>
      <c r="AA101" s="299">
        <f t="shared" si="64"/>
        <v>-88691.644592314638</v>
      </c>
      <c r="AB101" s="299"/>
      <c r="AC101" s="299"/>
      <c r="AE101" s="291"/>
      <c r="AG101" s="291"/>
    </row>
    <row r="102" spans="2:33">
      <c r="B102" s="291" t="s">
        <v>426</v>
      </c>
      <c r="C102" s="90" t="s">
        <v>442</v>
      </c>
      <c r="D102" s="299">
        <f t="shared" si="65"/>
        <v>0.43651264379727783</v>
      </c>
      <c r="E102" s="299">
        <f t="shared" si="63"/>
        <v>0.13622710230095025</v>
      </c>
      <c r="F102" s="299">
        <f t="shared" si="63"/>
        <v>0.22420231707318566</v>
      </c>
      <c r="G102" s="299">
        <f t="shared" si="63"/>
        <v>9.0057921268601987E-2</v>
      </c>
      <c r="H102" s="299">
        <f t="shared" si="63"/>
        <v>0.11832465891860533</v>
      </c>
      <c r="I102" s="299">
        <f t="shared" si="63"/>
        <v>3.8569271431020992E-2</v>
      </c>
      <c r="J102" s="299">
        <f t="shared" si="63"/>
        <v>1.7146930029726573E-3</v>
      </c>
      <c r="K102" s="299"/>
      <c r="L102" s="299">
        <f t="shared" si="63"/>
        <v>0.43651264379727783</v>
      </c>
      <c r="M102" s="299">
        <f t="shared" si="63"/>
        <v>0.13622710230095025</v>
      </c>
      <c r="N102" s="299">
        <f t="shared" si="63"/>
        <v>0.22420231707318566</v>
      </c>
      <c r="O102" s="299">
        <f t="shared" si="63"/>
        <v>9.0057921268601987E-2</v>
      </c>
      <c r="P102" s="299">
        <f t="shared" si="63"/>
        <v>0.11832465891860533</v>
      </c>
      <c r="Q102" s="299">
        <f t="shared" si="63"/>
        <v>3.8569271431020992E-2</v>
      </c>
      <c r="R102" s="299">
        <f t="shared" si="63"/>
        <v>1.7146930029726573E-3</v>
      </c>
      <c r="S102" s="299"/>
      <c r="T102" s="299"/>
      <c r="U102" s="291">
        <f t="shared" si="64"/>
        <v>0.46479220627287904</v>
      </c>
      <c r="V102" s="299">
        <f t="shared" si="64"/>
        <v>0.145052603475159</v>
      </c>
      <c r="W102" s="299">
        <f t="shared" si="64"/>
        <v>0.23872731084585228</v>
      </c>
      <c r="X102" s="299">
        <f t="shared" si="64"/>
        <v>9.5892342440880698E-2</v>
      </c>
      <c r="Y102" s="299">
        <f t="shared" si="64"/>
        <v>0.12599034657242481</v>
      </c>
      <c r="Z102" s="299">
        <f t="shared" si="64"/>
        <v>4.1067989707732636E-2</v>
      </c>
      <c r="AA102" s="299">
        <f t="shared" si="64"/>
        <v>1.8257797460328679E-3</v>
      </c>
      <c r="AB102" s="299"/>
      <c r="AC102" s="299"/>
      <c r="AE102" s="291"/>
      <c r="AG102" s="291"/>
    </row>
    <row r="103" spans="2:33">
      <c r="B103" s="291" t="s">
        <v>426</v>
      </c>
      <c r="C103" s="90" t="s">
        <v>434</v>
      </c>
      <c r="D103" s="299">
        <f t="shared" si="65"/>
        <v>6694072.0700953817</v>
      </c>
      <c r="E103" s="299">
        <f t="shared" si="63"/>
        <v>1655300.964555206</v>
      </c>
      <c r="F103" s="299">
        <f t="shared" si="63"/>
        <v>1985206.9195822298</v>
      </c>
      <c r="G103" s="299">
        <f t="shared" si="63"/>
        <v>766321.97988984676</v>
      </c>
      <c r="H103" s="299">
        <f t="shared" si="63"/>
        <v>765257.24024501932</v>
      </c>
      <c r="I103" s="299">
        <f t="shared" si="63"/>
        <v>559289.63794674643</v>
      </c>
      <c r="J103" s="299">
        <f t="shared" si="63"/>
        <v>27861.888138129103</v>
      </c>
      <c r="K103" s="299"/>
      <c r="L103" s="299">
        <f t="shared" si="63"/>
        <v>7460395.6265739836</v>
      </c>
      <c r="M103" s="299">
        <f t="shared" si="63"/>
        <v>1835979.7249812412</v>
      </c>
      <c r="N103" s="299">
        <f t="shared" si="63"/>
        <v>2240488.4407226192</v>
      </c>
      <c r="O103" s="299">
        <f t="shared" si="63"/>
        <v>864793.10108261975</v>
      </c>
      <c r="P103" s="299">
        <f t="shared" si="63"/>
        <v>863913.79664548323</v>
      </c>
      <c r="Q103" s="299">
        <f t="shared" si="63"/>
        <v>630061.87833932356</v>
      </c>
      <c r="R103" s="299">
        <f t="shared" si="63"/>
        <v>26511.929061076724</v>
      </c>
      <c r="S103" s="299"/>
      <c r="T103" s="299"/>
      <c r="U103" s="291">
        <f t="shared" si="64"/>
        <v>7943718.9099022467</v>
      </c>
      <c r="V103" s="299">
        <f t="shared" si="64"/>
        <v>1954924.0535690212</v>
      </c>
      <c r="W103" s="299">
        <f t="shared" si="64"/>
        <v>2385638.9506462282</v>
      </c>
      <c r="X103" s="299">
        <f t="shared" si="64"/>
        <v>920818.90211736015</v>
      </c>
      <c r="Y103" s="299">
        <f t="shared" si="64"/>
        <v>919882.63175926264</v>
      </c>
      <c r="Z103" s="299">
        <f t="shared" si="64"/>
        <v>670880.5682562791</v>
      </c>
      <c r="AA103" s="299">
        <f t="shared" si="64"/>
        <v>28229.509902972375</v>
      </c>
      <c r="AB103" s="299"/>
      <c r="AC103" s="299"/>
      <c r="AE103" s="291"/>
      <c r="AG103" s="291"/>
    </row>
    <row r="104" spans="2:33">
      <c r="B104" s="291" t="s">
        <v>426</v>
      </c>
      <c r="C104" s="90" t="s">
        <v>435</v>
      </c>
      <c r="D104" s="299">
        <f t="shared" si="65"/>
        <v>25876267.187623437</v>
      </c>
      <c r="E104" s="299">
        <f t="shared" si="63"/>
        <v>6107379.2798508946</v>
      </c>
      <c r="F104" s="299">
        <f t="shared" si="63"/>
        <v>5680756.7141227936</v>
      </c>
      <c r="G104" s="299">
        <f t="shared" si="63"/>
        <v>2179121.3401205279</v>
      </c>
      <c r="H104" s="299">
        <f t="shared" si="63"/>
        <v>813130.01210916368</v>
      </c>
      <c r="I104" s="299">
        <f t="shared" si="63"/>
        <v>1568064.3957470562</v>
      </c>
      <c r="J104" s="299">
        <f t="shared" si="63"/>
        <v>439403.7180388663</v>
      </c>
      <c r="K104" s="299"/>
      <c r="L104" s="299">
        <f t="shared" si="63"/>
        <v>27983621.693723455</v>
      </c>
      <c r="M104" s="299">
        <f t="shared" si="63"/>
        <v>6528725.4727348238</v>
      </c>
      <c r="N104" s="299">
        <f t="shared" si="63"/>
        <v>6105870.3085174793</v>
      </c>
      <c r="O104" s="299">
        <f t="shared" si="63"/>
        <v>2344729.343794154</v>
      </c>
      <c r="P104" s="299">
        <f t="shared" si="63"/>
        <v>817512.00657896721</v>
      </c>
      <c r="Q104" s="299">
        <f t="shared" si="63"/>
        <v>1682011.2853504093</v>
      </c>
      <c r="R104" s="299">
        <f t="shared" si="63"/>
        <v>495163.56331719813</v>
      </c>
      <c r="S104" s="299"/>
      <c r="T104" s="299"/>
      <c r="U104" s="291">
        <f t="shared" si="64"/>
        <v>29796546.449114416</v>
      </c>
      <c r="V104" s="299">
        <f t="shared" si="64"/>
        <v>6951690.3112470331</v>
      </c>
      <c r="W104" s="299">
        <f t="shared" si="64"/>
        <v>6501440.3872110741</v>
      </c>
      <c r="X104" s="299">
        <f t="shared" si="64"/>
        <v>2496633.1223179125</v>
      </c>
      <c r="Y104" s="299">
        <f t="shared" si="64"/>
        <v>870474.69206612743</v>
      </c>
      <c r="Z104" s="299">
        <f t="shared" si="64"/>
        <v>1790980.7365327298</v>
      </c>
      <c r="AA104" s="299">
        <f t="shared" si="64"/>
        <v>527242.83782035136</v>
      </c>
      <c r="AB104" s="299"/>
      <c r="AC104" s="299"/>
      <c r="AE104" s="291"/>
      <c r="AG104" s="291"/>
    </row>
    <row r="105" spans="2:33">
      <c r="B105" s="291" t="s">
        <v>426</v>
      </c>
      <c r="C105" s="90" t="s">
        <v>436</v>
      </c>
      <c r="D105" s="299">
        <f t="shared" si="65"/>
        <v>5161833.1229186235</v>
      </c>
      <c r="E105" s="299">
        <f t="shared" si="63"/>
        <v>1794221.9689345148</v>
      </c>
      <c r="F105" s="299">
        <f t="shared" si="63"/>
        <v>594261.98456472449</v>
      </c>
      <c r="G105" s="299">
        <f t="shared" si="63"/>
        <v>118506.27125546552</v>
      </c>
      <c r="H105" s="299">
        <f t="shared" si="63"/>
        <v>10588.417931502529</v>
      </c>
      <c r="I105" s="299">
        <f t="shared" si="63"/>
        <v>844475.52401525434</v>
      </c>
      <c r="J105" s="299">
        <f t="shared" si="63"/>
        <v>15357.726442144045</v>
      </c>
      <c r="K105" s="299"/>
      <c r="L105" s="299">
        <f t="shared" si="63"/>
        <v>5945731.2377856281</v>
      </c>
      <c r="M105" s="299">
        <f t="shared" si="63"/>
        <v>2099613.420969747</v>
      </c>
      <c r="N105" s="299">
        <f t="shared" si="63"/>
        <v>671879.33357317711</v>
      </c>
      <c r="O105" s="299">
        <f t="shared" si="63"/>
        <v>124970.52353258507</v>
      </c>
      <c r="P105" s="299">
        <f t="shared" si="63"/>
        <v>7562.6649910951419</v>
      </c>
      <c r="Q105" s="299">
        <f t="shared" si="63"/>
        <v>1009515.9624264372</v>
      </c>
      <c r="R105" s="299">
        <f t="shared" si="63"/>
        <v>13292.422948163075</v>
      </c>
      <c r="S105" s="299"/>
      <c r="T105" s="299"/>
      <c r="U105" s="291">
        <f t="shared" si="64"/>
        <v>6330926.6734536486</v>
      </c>
      <c r="V105" s="299">
        <f t="shared" si="64"/>
        <v>2235637.3134196978</v>
      </c>
      <c r="W105" s="299">
        <f t="shared" si="64"/>
        <v>715407.17603052408</v>
      </c>
      <c r="X105" s="299">
        <f t="shared" si="64"/>
        <v>133066.76490856137</v>
      </c>
      <c r="Y105" s="299">
        <f t="shared" si="64"/>
        <v>8052.6138164882514</v>
      </c>
      <c r="Z105" s="299">
        <f t="shared" si="64"/>
        <v>1074917.6641531195</v>
      </c>
      <c r="AA105" s="299">
        <f t="shared" si="64"/>
        <v>14153.57533528446</v>
      </c>
      <c r="AB105" s="299"/>
      <c r="AC105" s="299"/>
      <c r="AE105" s="291"/>
      <c r="AG105" s="291"/>
    </row>
    <row r="106" spans="2:33">
      <c r="B106" s="291" t="s">
        <v>426</v>
      </c>
      <c r="C106" s="90" t="s">
        <v>437</v>
      </c>
      <c r="D106" s="299">
        <f t="shared" si="65"/>
        <v>1112822.3810328245</v>
      </c>
      <c r="E106" s="299">
        <f t="shared" si="63"/>
        <v>283666.2932828599</v>
      </c>
      <c r="F106" s="299">
        <f t="shared" si="63"/>
        <v>129601.55410444613</v>
      </c>
      <c r="G106" s="299">
        <f t="shared" si="63"/>
        <v>22551.835168682061</v>
      </c>
      <c r="H106" s="299">
        <f t="shared" si="63"/>
        <v>10849.993169886387</v>
      </c>
      <c r="I106" s="299">
        <f t="shared" si="63"/>
        <v>85548.475308937734</v>
      </c>
      <c r="J106" s="299">
        <f t="shared" si="63"/>
        <v>18787.404269297291</v>
      </c>
      <c r="K106" s="299"/>
      <c r="L106" s="299">
        <f t="shared" si="63"/>
        <v>1215969.415377781</v>
      </c>
      <c r="M106" s="299">
        <f t="shared" si="63"/>
        <v>309228.20421171369</v>
      </c>
      <c r="N106" s="299">
        <f t="shared" si="63"/>
        <v>140447.28958790313</v>
      </c>
      <c r="O106" s="299">
        <f t="shared" si="63"/>
        <v>23648.761045132345</v>
      </c>
      <c r="P106" s="299">
        <f t="shared" si="63"/>
        <v>11641.683429636936</v>
      </c>
      <c r="Q106" s="299">
        <f t="shared" si="63"/>
        <v>93759.099519054624</v>
      </c>
      <c r="R106" s="299">
        <f t="shared" si="63"/>
        <v>18309.536865293172</v>
      </c>
      <c r="S106" s="299"/>
      <c r="T106" s="299"/>
      <c r="U106" s="291">
        <f t="shared" si="64"/>
        <v>1294746.2470210954</v>
      </c>
      <c r="V106" s="299">
        <f t="shared" si="64"/>
        <v>329261.61777827312</v>
      </c>
      <c r="W106" s="299">
        <f t="shared" si="64"/>
        <v>149546.19647380424</v>
      </c>
      <c r="X106" s="299">
        <f t="shared" si="64"/>
        <v>25180.85095123131</v>
      </c>
      <c r="Y106" s="299">
        <f t="shared" si="64"/>
        <v>12395.892313498003</v>
      </c>
      <c r="Z106" s="299">
        <f t="shared" si="64"/>
        <v>99833.302294579698</v>
      </c>
      <c r="AA106" s="299">
        <f t="shared" si="64"/>
        <v>19495.724021699683</v>
      </c>
      <c r="AB106" s="299"/>
      <c r="AC106" s="299"/>
      <c r="AE106" s="291"/>
      <c r="AG106" s="291"/>
    </row>
    <row r="107" spans="2:33">
      <c r="B107" s="291" t="s">
        <v>426</v>
      </c>
      <c r="C107" s="90" t="s">
        <v>438</v>
      </c>
      <c r="D107" s="299">
        <f t="shared" si="65"/>
        <v>3909387.3818968465</v>
      </c>
      <c r="E107" s="299">
        <f t="shared" si="63"/>
        <v>1186848.4757964606</v>
      </c>
      <c r="F107" s="299">
        <f t="shared" si="63"/>
        <v>308088.33701605827</v>
      </c>
      <c r="G107" s="299">
        <f t="shared" si="63"/>
        <v>93521.407005388639</v>
      </c>
      <c r="H107" s="299">
        <f t="shared" si="63"/>
        <v>7328.0827164688853</v>
      </c>
      <c r="I107" s="299">
        <f t="shared" si="63"/>
        <v>35386.465076383123</v>
      </c>
      <c r="J107" s="299">
        <f t="shared" si="63"/>
        <v>4861.972304499498</v>
      </c>
      <c r="K107" s="299"/>
      <c r="L107" s="299">
        <f t="shared" si="63"/>
        <v>4604207.5913136946</v>
      </c>
      <c r="M107" s="299">
        <f t="shared" si="63"/>
        <v>1410615.7560863434</v>
      </c>
      <c r="N107" s="299">
        <f t="shared" si="63"/>
        <v>346565.02267982287</v>
      </c>
      <c r="O107" s="299">
        <f t="shared" si="63"/>
        <v>102779.58697030612</v>
      </c>
      <c r="P107" s="299">
        <f t="shared" si="63"/>
        <v>5489.4090648457022</v>
      </c>
      <c r="Q107" s="299">
        <f t="shared" si="63"/>
        <v>29524.437237086458</v>
      </c>
      <c r="R107" s="299">
        <f t="shared" si="63"/>
        <v>2503.7204129613556</v>
      </c>
      <c r="S107" s="299"/>
      <c r="T107" s="299"/>
      <c r="U107" s="291">
        <f t="shared" si="64"/>
        <v>4902492.1383465677</v>
      </c>
      <c r="V107" s="299">
        <f t="shared" si="64"/>
        <v>1502002.7914223399</v>
      </c>
      <c r="W107" s="299">
        <f t="shared" si="64"/>
        <v>369017.30980139307</v>
      </c>
      <c r="X107" s="299">
        <f t="shared" si="64"/>
        <v>109438.18390270814</v>
      </c>
      <c r="Y107" s="299">
        <f t="shared" si="64"/>
        <v>5845.041573569848</v>
      </c>
      <c r="Z107" s="299">
        <f t="shared" si="64"/>
        <v>31437.184048129366</v>
      </c>
      <c r="AA107" s="299">
        <f t="shared" si="64"/>
        <v>2665.9244609903994</v>
      </c>
      <c r="AB107" s="299"/>
      <c r="AC107" s="299"/>
      <c r="AE107" s="291"/>
      <c r="AG107" s="291"/>
    </row>
    <row r="108" spans="2:33">
      <c r="B108" s="291" t="s">
        <v>426</v>
      </c>
      <c r="C108" s="90" t="s">
        <v>432</v>
      </c>
      <c r="D108" s="299">
        <f t="shared" si="65"/>
        <v>7570608.6746200575</v>
      </c>
      <c r="E108" s="299">
        <f t="shared" si="63"/>
        <v>1220686.4772335519</v>
      </c>
      <c r="F108" s="299">
        <f t="shared" si="63"/>
        <v>143870.0526564715</v>
      </c>
      <c r="G108" s="299">
        <f t="shared" si="63"/>
        <v>84744.197159293661</v>
      </c>
      <c r="H108" s="299">
        <f t="shared" si="63"/>
        <v>66073.502728324209</v>
      </c>
      <c r="I108" s="299">
        <f t="shared" si="63"/>
        <v>213643.49095233681</v>
      </c>
      <c r="J108" s="299">
        <f t="shared" si="63"/>
        <v>118405.96849345855</v>
      </c>
      <c r="K108" s="299"/>
      <c r="L108" s="299">
        <f t="shared" si="63"/>
        <v>7591062.5194729362</v>
      </c>
      <c r="M108" s="299">
        <f t="shared" si="63"/>
        <v>1224351.6861017263</v>
      </c>
      <c r="N108" s="299">
        <f t="shared" si="63"/>
        <v>140445.71208375716</v>
      </c>
      <c r="O108" s="299">
        <f t="shared" si="63"/>
        <v>84896.094498623555</v>
      </c>
      <c r="P108" s="299">
        <f t="shared" si="63"/>
        <v>66109.026000329934</v>
      </c>
      <c r="Q108" s="299">
        <f t="shared" si="63"/>
        <v>214405.81906414809</v>
      </c>
      <c r="R108" s="299">
        <f t="shared" si="63"/>
        <v>118957.27409448205</v>
      </c>
      <c r="S108" s="299"/>
      <c r="T108" s="299"/>
      <c r="U108" s="291">
        <f t="shared" si="64"/>
        <v>8082851.0846521063</v>
      </c>
      <c r="V108" s="299">
        <f t="shared" si="64"/>
        <v>1303671.5648984131</v>
      </c>
      <c r="W108" s="299">
        <f t="shared" si="64"/>
        <v>149544.51677072386</v>
      </c>
      <c r="X108" s="299">
        <f t="shared" si="64"/>
        <v>90396.10564932767</v>
      </c>
      <c r="Y108" s="299">
        <f t="shared" si="64"/>
        <v>70391.913008399526</v>
      </c>
      <c r="Z108" s="299">
        <f t="shared" si="64"/>
        <v>228296.14467444792</v>
      </c>
      <c r="AA108" s="299">
        <f t="shared" si="64"/>
        <v>126663.94585413084</v>
      </c>
      <c r="AB108" s="299"/>
      <c r="AC108" s="299"/>
      <c r="AE108" s="291"/>
      <c r="AG108" s="291"/>
    </row>
    <row r="109" spans="2:33">
      <c r="B109" s="295" t="s">
        <v>426</v>
      </c>
      <c r="C109" s="265" t="s">
        <v>433</v>
      </c>
      <c r="D109" s="313">
        <f t="shared" si="65"/>
        <v>8229236.6390650328</v>
      </c>
      <c r="E109" s="313">
        <f t="shared" si="63"/>
        <v>2398355.6632689354</v>
      </c>
      <c r="F109" s="313">
        <f t="shared" si="63"/>
        <v>3114215.7197505636</v>
      </c>
      <c r="G109" s="313">
        <f t="shared" si="63"/>
        <v>1200992.9724074046</v>
      </c>
      <c r="H109" s="313">
        <f t="shared" si="63"/>
        <v>1401239.7238151128</v>
      </c>
      <c r="I109" s="313">
        <f t="shared" si="63"/>
        <v>696594.53545739304</v>
      </c>
      <c r="J109" s="313">
        <f t="shared" si="63"/>
        <v>60227.283634537867</v>
      </c>
      <c r="K109" s="299"/>
      <c r="L109" s="313">
        <f t="shared" si="63"/>
        <v>8578435.2651642244</v>
      </c>
      <c r="M109" s="313">
        <f t="shared" si="63"/>
        <v>2500089.4947538204</v>
      </c>
      <c r="N109" s="313">
        <f t="shared" si="63"/>
        <v>3246806.3625774099</v>
      </c>
      <c r="O109" s="313">
        <f t="shared" si="63"/>
        <v>1252150.8575092398</v>
      </c>
      <c r="P109" s="313">
        <f t="shared" si="63"/>
        <v>1461092.6934056741</v>
      </c>
      <c r="Q109" s="313">
        <f t="shared" si="63"/>
        <v>726160.35992211883</v>
      </c>
      <c r="R109" s="313">
        <f t="shared" si="63"/>
        <v>62759.530483874871</v>
      </c>
      <c r="S109" s="313"/>
      <c r="T109" s="313"/>
      <c r="U109" s="295">
        <f t="shared" si="64"/>
        <v>9134190.9791654348</v>
      </c>
      <c r="V109" s="313">
        <f t="shared" si="64"/>
        <v>2662058.3129911209</v>
      </c>
      <c r="W109" s="313">
        <f t="shared" si="64"/>
        <v>3457151.3885036898</v>
      </c>
      <c r="X109" s="313">
        <f t="shared" si="64"/>
        <v>1333271.7114111374</v>
      </c>
      <c r="Y109" s="313">
        <f t="shared" si="64"/>
        <v>1555749.8876311849</v>
      </c>
      <c r="Z109" s="313">
        <f t="shared" si="64"/>
        <v>773204.80996847199</v>
      </c>
      <c r="AA109" s="313">
        <f t="shared" si="64"/>
        <v>66825.419727812507</v>
      </c>
      <c r="AB109" s="313"/>
      <c r="AC109" s="313"/>
      <c r="AE109" s="291"/>
      <c r="AG109" s="291"/>
    </row>
    <row r="110" spans="2:33">
      <c r="B110" s="291"/>
      <c r="C110" s="291"/>
      <c r="D110" s="298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E110" s="291"/>
      <c r="AG110" s="291"/>
    </row>
    <row r="111" spans="2:33">
      <c r="B111" s="291" t="s">
        <v>426</v>
      </c>
      <c r="C111" s="227" t="s">
        <v>439</v>
      </c>
      <c r="D111" s="299">
        <f>D99</f>
        <v>19429677.200133171</v>
      </c>
      <c r="E111" s="299">
        <f t="shared" ref="E111:J111" si="66">E99</f>
        <v>5229341.6366228145</v>
      </c>
      <c r="F111" s="299">
        <f t="shared" si="66"/>
        <v>8866166.2258062214</v>
      </c>
      <c r="G111" s="299">
        <f t="shared" si="66"/>
        <v>3488314.0646668985</v>
      </c>
      <c r="H111" s="299">
        <f t="shared" si="66"/>
        <v>4598635.0623242129</v>
      </c>
      <c r="I111" s="299">
        <f t="shared" si="66"/>
        <v>1660841.4485781966</v>
      </c>
      <c r="J111" s="299">
        <f t="shared" si="66"/>
        <v>10146.669449728208</v>
      </c>
      <c r="K111" s="291">
        <f>SUMIFS(Sch.47T!F:F,Sch.47T!A:A,"Present",Sch.47T!B:B,"$")*G99/SUM(G$99:G$109)</f>
        <v>35625.002919368875</v>
      </c>
      <c r="L111" s="299">
        <f ca="1">L99*(1-($S111-$K111)/SUM($L99:$R99))</f>
        <v>21796302.154333804</v>
      </c>
      <c r="M111" s="299">
        <f t="shared" ref="M111:R111" ca="1" si="67">M99*(1-($S111-$K111)/SUM($L99:$R99))</f>
        <v>5860377.5521918265</v>
      </c>
      <c r="N111" s="299">
        <f t="shared" ca="1" si="67"/>
        <v>9894175.0797711276</v>
      </c>
      <c r="O111" s="299">
        <f t="shared" ca="1" si="67"/>
        <v>3892825.3345407909</v>
      </c>
      <c r="P111" s="299">
        <f t="shared" ca="1" si="67"/>
        <v>5131804.9987786692</v>
      </c>
      <c r="Q111" s="299">
        <f t="shared" ca="1" si="67"/>
        <v>1858349.9689127638</v>
      </c>
      <c r="R111" s="299">
        <f t="shared" ca="1" si="67"/>
        <v>14864.754972848063</v>
      </c>
      <c r="S111" s="299">
        <f ca="1">S$128*O99/SUM(O$99:O$109)</f>
        <v>41756.27930019523</v>
      </c>
      <c r="T111" s="299"/>
      <c r="U111" s="291">
        <f ca="1">U99*(1-($AB111-$K111)/SUM($U99:$AA99))</f>
        <v>23206873.591732636</v>
      </c>
      <c r="V111" s="299">
        <f t="shared" ref="V111:AA111" ca="1" si="68">V99*(1-($AB111-$K111)/SUM($U99:$AA99))</f>
        <v>6239638.2693979982</v>
      </c>
      <c r="W111" s="299">
        <f t="shared" ca="1" si="68"/>
        <v>10534487.398132591</v>
      </c>
      <c r="X111" s="299">
        <f t="shared" ca="1" si="68"/>
        <v>4144753.7666576114</v>
      </c>
      <c r="Y111" s="299">
        <f t="shared" ca="1" si="68"/>
        <v>5463915.3495309148</v>
      </c>
      <c r="Z111" s="299">
        <f t="shared" ca="1" si="68"/>
        <v>1978615.1115171546</v>
      </c>
      <c r="AA111" s="299">
        <f t="shared" ca="1" si="68"/>
        <v>15826.743783618087</v>
      </c>
      <c r="AB111" s="299">
        <f ca="1">AB$128*X99/SUM(X$99:X$109)</f>
        <v>45502.210590878793</v>
      </c>
      <c r="AC111" s="299"/>
      <c r="AE111" s="291"/>
      <c r="AG111" s="291"/>
    </row>
    <row r="112" spans="2:33">
      <c r="B112" s="291" t="s">
        <v>426</v>
      </c>
      <c r="C112" s="227" t="s">
        <v>440</v>
      </c>
      <c r="D112" s="299">
        <f t="shared" ref="D112:J112" si="69">D100</f>
        <v>79672471.695470676</v>
      </c>
      <c r="E112" s="299">
        <f t="shared" si="69"/>
        <v>26853863.560690694</v>
      </c>
      <c r="F112" s="299">
        <f t="shared" si="69"/>
        <v>45853487.103811562</v>
      </c>
      <c r="G112" s="299">
        <f t="shared" si="69"/>
        <v>18469019.859829172</v>
      </c>
      <c r="H112" s="299">
        <f t="shared" si="69"/>
        <v>26150873.501933157</v>
      </c>
      <c r="I112" s="299">
        <f t="shared" si="69"/>
        <v>7490684.2078461535</v>
      </c>
      <c r="J112" s="299">
        <f t="shared" si="69"/>
        <v>332310.34109765256</v>
      </c>
      <c r="K112" s="291">
        <f>SUMIFS(Sch.47T!F:F,Sch.47T!A:A,"Present",Sch.47T!B:B,"$")*G100/SUM(G$99:G$109)</f>
        <v>188618.01839712649</v>
      </c>
      <c r="L112" s="299">
        <f t="shared" ref="L112:R121" ca="1" si="70">L100*(1-($S112-$K112)/SUM($L100:$R100))</f>
        <v>80372334.551577806</v>
      </c>
      <c r="M112" s="299">
        <f t="shared" ca="1" si="70"/>
        <v>27092710.820000581</v>
      </c>
      <c r="N112" s="299">
        <f t="shared" ca="1" si="70"/>
        <v>46261124.49822288</v>
      </c>
      <c r="O112" s="299">
        <f t="shared" ca="1" si="70"/>
        <v>18633403.017256457</v>
      </c>
      <c r="P112" s="299">
        <f t="shared" ca="1" si="70"/>
        <v>26384423.857072633</v>
      </c>
      <c r="Q112" s="299">
        <f t="shared" ca="1" si="70"/>
        <v>7556821.6861393852</v>
      </c>
      <c r="R112" s="299">
        <f t="shared" ca="1" si="70"/>
        <v>335419.9839361718</v>
      </c>
      <c r="S112" s="299">
        <f t="shared" ref="S112:S121" ca="1" si="71">S$128*O100/SUM(O$99:O$109)</f>
        <v>199856.24111099445</v>
      </c>
      <c r="T112" s="299"/>
      <c r="U112" s="291">
        <f t="shared" ref="U112:AA112" ca="1" si="72">U100*(1-($AB112-$K112)/SUM($U100:$AA100))</f>
        <v>85572582.579215661</v>
      </c>
      <c r="V112" s="299">
        <f t="shared" ca="1" si="72"/>
        <v>28845662.464258935</v>
      </c>
      <c r="W112" s="299">
        <f t="shared" ca="1" si="72"/>
        <v>49254310.185442284</v>
      </c>
      <c r="X112" s="299">
        <f t="shared" ca="1" si="72"/>
        <v>19839020.818820823</v>
      </c>
      <c r="Y112" s="299">
        <f t="shared" ca="1" si="72"/>
        <v>28091547.942600507</v>
      </c>
      <c r="Z112" s="299">
        <f t="shared" ca="1" si="72"/>
        <v>8045762.9031366184</v>
      </c>
      <c r="AA112" s="299">
        <f t="shared" ca="1" si="72"/>
        <v>357122.31620791933</v>
      </c>
      <c r="AB112" s="299">
        <f t="shared" ref="AB112:AB121" ca="1" si="73">AB$128*X100/SUM(X$99:X$109)</f>
        <v>217785.22711652139</v>
      </c>
      <c r="AC112" s="299"/>
      <c r="AE112" s="291"/>
      <c r="AG112" s="291"/>
    </row>
    <row r="113" spans="2:33">
      <c r="B113" s="291" t="s">
        <v>426</v>
      </c>
      <c r="C113" s="90" t="s">
        <v>441</v>
      </c>
      <c r="D113" s="299">
        <f t="shared" ref="D113:J113" si="74">D101</f>
        <v>20464794.889449865</v>
      </c>
      <c r="E113" s="299">
        <f t="shared" si="74"/>
        <v>7501309.4015307538</v>
      </c>
      <c r="F113" s="299">
        <f t="shared" si="74"/>
        <v>15037525.343626849</v>
      </c>
      <c r="G113" s="299">
        <f t="shared" si="74"/>
        <v>6069884.2759030284</v>
      </c>
      <c r="H113" s="299">
        <f t="shared" si="74"/>
        <v>7982565.0580642764</v>
      </c>
      <c r="I113" s="299">
        <f t="shared" si="74"/>
        <v>2184659.6610886841</v>
      </c>
      <c r="J113" s="299">
        <f t="shared" si="74"/>
        <v>-102644.62400808027</v>
      </c>
      <c r="K113" s="291">
        <f>SUMIFS(Sch.47T!F:F,Sch.47T!A:A,"Present",Sch.47T!B:B,"$")*G101/SUM(G$99:G$109)</f>
        <v>61989.729433930865</v>
      </c>
      <c r="L113" s="299">
        <f t="shared" ca="1" si="70"/>
        <v>25391916.435861517</v>
      </c>
      <c r="M113" s="299">
        <f t="shared" ca="1" si="70"/>
        <v>9038939.3464132026</v>
      </c>
      <c r="N113" s="299">
        <f t="shared" ca="1" si="70"/>
        <v>17568372.457864027</v>
      </c>
      <c r="O113" s="299">
        <f t="shared" ca="1" si="70"/>
        <v>7086510.627080434</v>
      </c>
      <c r="P113" s="299">
        <f t="shared" ca="1" si="70"/>
        <v>9318439.669749286</v>
      </c>
      <c r="Q113" s="299">
        <f t="shared" ca="1" si="70"/>
        <v>2619956.7182226949</v>
      </c>
      <c r="R113" s="299">
        <f t="shared" ca="1" si="70"/>
        <v>-83278.86989309029</v>
      </c>
      <c r="S113" s="299">
        <f t="shared" ca="1" si="71"/>
        <v>76018.664712365251</v>
      </c>
      <c r="T113" s="299"/>
      <c r="U113" s="291">
        <f t="shared" ref="U113:AA113" ca="1" si="75">U101*(1-($AB113-$K113)/SUM($U101:$AA101))</f>
        <v>27034821.397271149</v>
      </c>
      <c r="V113" s="299">
        <f t="shared" ca="1" si="75"/>
        <v>9623775.7976363115</v>
      </c>
      <c r="W113" s="299">
        <f t="shared" ca="1" si="75"/>
        <v>18705079.344397139</v>
      </c>
      <c r="X113" s="299">
        <f t="shared" ca="1" si="75"/>
        <v>7545021.2518188497</v>
      </c>
      <c r="Y113" s="299">
        <f t="shared" ca="1" si="75"/>
        <v>9921360.3198978417</v>
      </c>
      <c r="Z113" s="299">
        <f t="shared" ca="1" si="75"/>
        <v>2789472.86726639</v>
      </c>
      <c r="AA113" s="299">
        <f t="shared" ca="1" si="75"/>
        <v>-88667.170097745664</v>
      </c>
      <c r="AB113" s="299">
        <f t="shared" ca="1" si="73"/>
        <v>82838.254474537855</v>
      </c>
      <c r="AC113" s="299"/>
      <c r="AE113" s="291"/>
      <c r="AG113" s="291"/>
    </row>
    <row r="114" spans="2:33">
      <c r="B114" s="291" t="s">
        <v>426</v>
      </c>
      <c r="C114" s="90" t="s">
        <v>442</v>
      </c>
      <c r="D114" s="299">
        <f t="shared" ref="D114:J114" si="76">D102</f>
        <v>0.43651264379727783</v>
      </c>
      <c r="E114" s="299">
        <f t="shared" si="76"/>
        <v>0.13622710230095025</v>
      </c>
      <c r="F114" s="299">
        <f t="shared" si="76"/>
        <v>0.22420231707318566</v>
      </c>
      <c r="G114" s="299">
        <f t="shared" si="76"/>
        <v>9.0057921268601987E-2</v>
      </c>
      <c r="H114" s="299">
        <f t="shared" si="76"/>
        <v>0.11832465891860533</v>
      </c>
      <c r="I114" s="299">
        <f t="shared" si="76"/>
        <v>3.8569271431020992E-2</v>
      </c>
      <c r="J114" s="299">
        <f t="shared" si="76"/>
        <v>1.7146930029726573E-3</v>
      </c>
      <c r="K114" s="291">
        <f>SUMIFS(Sch.47T!F:F,Sch.47T!A:A,"Present",Sch.47T!B:B,"$")*G102/SUM(G$99:G$109)</f>
        <v>9.1973189587578113E-4</v>
      </c>
      <c r="L114" s="299">
        <f t="shared" ca="1" si="70"/>
        <v>0.43649337762559554</v>
      </c>
      <c r="M114" s="299">
        <f t="shared" ca="1" si="70"/>
        <v>0.13622108970365668</v>
      </c>
      <c r="N114" s="299">
        <f t="shared" ca="1" si="70"/>
        <v>0.22419242155150107</v>
      </c>
      <c r="O114" s="299">
        <f t="shared" ca="1" si="70"/>
        <v>9.0053946420685982E-2</v>
      </c>
      <c r="P114" s="299">
        <f t="shared" ca="1" si="70"/>
        <v>0.11831943647379103</v>
      </c>
      <c r="Q114" s="299">
        <f t="shared" ca="1" si="70"/>
        <v>3.8567569115599873E-2</v>
      </c>
      <c r="R114" s="299">
        <f t="shared" ca="1" si="70"/>
        <v>1.7146173223016685E-3</v>
      </c>
      <c r="S114" s="299">
        <f t="shared" ca="1" si="71"/>
        <v>9.6588147535871531E-4</v>
      </c>
      <c r="T114" s="299"/>
      <c r="U114" s="291">
        <f t="shared" ref="U114:AA114" ca="1" si="77">U102*(1-($AB114-$K114)/SUM($U102:$AA102))</f>
        <v>0.46473676668476704</v>
      </c>
      <c r="V114" s="299">
        <f t="shared" ca="1" si="77"/>
        <v>0.14503530185847374</v>
      </c>
      <c r="W114" s="299">
        <f t="shared" ca="1" si="77"/>
        <v>0.23869883587659557</v>
      </c>
      <c r="X114" s="299">
        <f t="shared" ca="1" si="77"/>
        <v>9.5880904572740344E-2</v>
      </c>
      <c r="Y114" s="299">
        <f t="shared" ca="1" si="77"/>
        <v>0.12597531866785627</v>
      </c>
      <c r="Z114" s="299">
        <f t="shared" ca="1" si="77"/>
        <v>4.1063091190926083E-2</v>
      </c>
      <c r="AA114" s="299">
        <f t="shared" ca="1" si="77"/>
        <v>1.8255619702704149E-3</v>
      </c>
      <c r="AB114" s="299">
        <f t="shared" ca="1" si="73"/>
        <v>1.0525301352076043E-3</v>
      </c>
      <c r="AC114" s="299"/>
      <c r="AE114" s="291"/>
      <c r="AG114" s="291"/>
    </row>
    <row r="115" spans="2:33">
      <c r="B115" s="291" t="s">
        <v>426</v>
      </c>
      <c r="C115" s="90" t="s">
        <v>434</v>
      </c>
      <c r="D115" s="299">
        <f t="shared" ref="D115:J115" si="78">D103</f>
        <v>6694072.0700953817</v>
      </c>
      <c r="E115" s="299">
        <f t="shared" si="78"/>
        <v>1655300.964555206</v>
      </c>
      <c r="F115" s="299">
        <f t="shared" si="78"/>
        <v>1985206.9195822298</v>
      </c>
      <c r="G115" s="299">
        <f t="shared" si="78"/>
        <v>766321.97988984676</v>
      </c>
      <c r="H115" s="299">
        <f t="shared" si="78"/>
        <v>765257.24024501932</v>
      </c>
      <c r="I115" s="299">
        <f t="shared" si="78"/>
        <v>559289.63794674643</v>
      </c>
      <c r="J115" s="299">
        <f t="shared" si="78"/>
        <v>27861.888138129103</v>
      </c>
      <c r="K115" s="291">
        <f>SUMIFS(Sch.47T!F:F,Sch.47T!A:A,"Present",Sch.47T!B:B,"$")*G103/SUM(G$99:G$109)</f>
        <v>7826.1940480864496</v>
      </c>
      <c r="L115" s="299">
        <f t="shared" ca="1" si="70"/>
        <v>7459619.2591041932</v>
      </c>
      <c r="M115" s="299">
        <f t="shared" ca="1" si="70"/>
        <v>1835788.6634068934</v>
      </c>
      <c r="N115" s="299">
        <f t="shared" ca="1" si="70"/>
        <v>2240255.2838729178</v>
      </c>
      <c r="O115" s="299">
        <f t="shared" ca="1" si="70"/>
        <v>864703.10622639686</v>
      </c>
      <c r="P115" s="299">
        <f t="shared" ca="1" si="70"/>
        <v>863823.89329424151</v>
      </c>
      <c r="Q115" s="299">
        <f t="shared" ca="1" si="70"/>
        <v>629996.31083181023</v>
      </c>
      <c r="R115" s="299">
        <f t="shared" ca="1" si="70"/>
        <v>26509.170092207689</v>
      </c>
      <c r="S115" s="299">
        <f t="shared" ca="1" si="71"/>
        <v>9275.0046257722825</v>
      </c>
      <c r="T115" s="299"/>
      <c r="U115" s="291">
        <f t="shared" ref="U115:AA115" ca="1" si="79">U103*(1-($AB115-$K115)/SUM($U103:$AA103))</f>
        <v>7942496.6728248149</v>
      </c>
      <c r="V115" s="299">
        <f t="shared" ca="1" si="79"/>
        <v>1954623.2648969979</v>
      </c>
      <c r="W115" s="299">
        <f t="shared" ca="1" si="79"/>
        <v>2385271.8912862586</v>
      </c>
      <c r="X115" s="299">
        <f t="shared" ca="1" si="79"/>
        <v>920677.22301006387</v>
      </c>
      <c r="Y115" s="299">
        <f t="shared" ca="1" si="79"/>
        <v>919741.09670846665</v>
      </c>
      <c r="Z115" s="299">
        <f t="shared" ca="1" si="79"/>
        <v>670777.34517973883</v>
      </c>
      <c r="AA115" s="299">
        <f t="shared" ca="1" si="79"/>
        <v>28225.166451992744</v>
      </c>
      <c r="AB115" s="299">
        <f t="shared" ca="1" si="73"/>
        <v>10107.059843123814</v>
      </c>
      <c r="AC115" s="299"/>
      <c r="AE115" s="291"/>
      <c r="AG115" s="291"/>
    </row>
    <row r="116" spans="2:33">
      <c r="B116" s="291" t="s">
        <v>426</v>
      </c>
      <c r="C116" s="90" t="s">
        <v>435</v>
      </c>
      <c r="D116" s="299">
        <f t="shared" ref="D116:J116" si="80">D104</f>
        <v>25876267.187623437</v>
      </c>
      <c r="E116" s="299">
        <f t="shared" si="80"/>
        <v>6107379.2798508946</v>
      </c>
      <c r="F116" s="299">
        <f t="shared" si="80"/>
        <v>5680756.7141227936</v>
      </c>
      <c r="G116" s="299">
        <f t="shared" si="80"/>
        <v>2179121.3401205279</v>
      </c>
      <c r="H116" s="299">
        <f t="shared" si="80"/>
        <v>813130.01210916368</v>
      </c>
      <c r="I116" s="299">
        <f t="shared" si="80"/>
        <v>1568064.3957470562</v>
      </c>
      <c r="J116" s="299">
        <f t="shared" si="80"/>
        <v>439403.7180388663</v>
      </c>
      <c r="K116" s="291">
        <f>SUMIFS(Sch.47T!F:F,Sch.47T!A:A,"Present",Sch.47T!B:B,"$")*G104/SUM(G$99:G$109)</f>
        <v>22254.648711186474</v>
      </c>
      <c r="L116" s="299">
        <f t="shared" ca="1" si="70"/>
        <v>27981860.241742685</v>
      </c>
      <c r="M116" s="299">
        <f t="shared" ca="1" si="70"/>
        <v>6528314.5167641593</v>
      </c>
      <c r="N116" s="299">
        <f t="shared" ca="1" si="70"/>
        <v>6105485.9695113646</v>
      </c>
      <c r="O116" s="299">
        <f t="shared" ca="1" si="70"/>
        <v>2344581.7528857221</v>
      </c>
      <c r="P116" s="299">
        <f t="shared" ca="1" si="70"/>
        <v>817460.54761632637</v>
      </c>
      <c r="Q116" s="299">
        <f t="shared" ca="1" si="70"/>
        <v>1681905.4097728059</v>
      </c>
      <c r="R116" s="299">
        <f t="shared" ca="1" si="70"/>
        <v>495132.39484126045</v>
      </c>
      <c r="S116" s="299">
        <f t="shared" ca="1" si="71"/>
        <v>25147.489593348535</v>
      </c>
      <c r="T116" s="299"/>
      <c r="U116" s="291">
        <f t="shared" ref="U116:AA116" ca="1" si="81">U104*(1-($AB116-$K116)/SUM($U104:$AA104))</f>
        <v>29793411.33820834</v>
      </c>
      <c r="V116" s="299">
        <f t="shared" ca="1" si="81"/>
        <v>6950958.8734561587</v>
      </c>
      <c r="W116" s="299">
        <f t="shared" ca="1" si="81"/>
        <v>6500756.3234824827</v>
      </c>
      <c r="X116" s="299">
        <f t="shared" ca="1" si="81"/>
        <v>2496370.4334273189</v>
      </c>
      <c r="Y116" s="299">
        <f t="shared" ca="1" si="81"/>
        <v>870383.10310613783</v>
      </c>
      <c r="Z116" s="299">
        <f t="shared" ca="1" si="81"/>
        <v>1790792.2944510523</v>
      </c>
      <c r="AA116" s="299">
        <f t="shared" ca="1" si="81"/>
        <v>527187.36277481809</v>
      </c>
      <c r="AB116" s="299">
        <f t="shared" ca="1" si="73"/>
        <v>27403.456114518514</v>
      </c>
      <c r="AC116" s="299"/>
      <c r="AE116" s="291"/>
      <c r="AG116" s="291"/>
    </row>
    <row r="117" spans="2:33">
      <c r="B117" s="291" t="s">
        <v>426</v>
      </c>
      <c r="C117" s="90" t="s">
        <v>436</v>
      </c>
      <c r="D117" s="299">
        <f t="shared" ref="D117:J117" si="82">D105</f>
        <v>5161833.1229186235</v>
      </c>
      <c r="E117" s="299">
        <f t="shared" si="82"/>
        <v>1794221.9689345148</v>
      </c>
      <c r="F117" s="299">
        <f t="shared" si="82"/>
        <v>594261.98456472449</v>
      </c>
      <c r="G117" s="299">
        <f t="shared" si="82"/>
        <v>118506.27125546552</v>
      </c>
      <c r="H117" s="299">
        <f t="shared" si="82"/>
        <v>10588.417931502529</v>
      </c>
      <c r="I117" s="299">
        <f t="shared" si="82"/>
        <v>844475.52401525434</v>
      </c>
      <c r="J117" s="299">
        <f t="shared" si="82"/>
        <v>15357.726442144045</v>
      </c>
      <c r="K117" s="291">
        <f>SUMIFS(Sch.47T!F:F,Sch.47T!A:A,"Present",Sch.47T!B:B,"$")*G105/SUM(G$99:G$109)</f>
        <v>1210.2655268921781</v>
      </c>
      <c r="L117" s="299">
        <f t="shared" ca="1" si="70"/>
        <v>5945652.9108842285</v>
      </c>
      <c r="M117" s="299">
        <f t="shared" ca="1" si="70"/>
        <v>2099585.7614259794</v>
      </c>
      <c r="N117" s="299">
        <f t="shared" ca="1" si="70"/>
        <v>671870.48247913865</v>
      </c>
      <c r="O117" s="299">
        <f t="shared" ca="1" si="70"/>
        <v>124968.87721634858</v>
      </c>
      <c r="P117" s="299">
        <f t="shared" ca="1" si="70"/>
        <v>7562.5653632964104</v>
      </c>
      <c r="Q117" s="299">
        <f t="shared" ca="1" si="70"/>
        <v>1009502.6634302184</v>
      </c>
      <c r="R117" s="299">
        <f t="shared" ca="1" si="70"/>
        <v>13292.247838616415</v>
      </c>
      <c r="S117" s="299">
        <f t="shared" ca="1" si="71"/>
        <v>1340.3231158977217</v>
      </c>
      <c r="T117" s="299"/>
      <c r="U117" s="291">
        <f t="shared" ref="U117:AA117" ca="1" si="83">U105*(1-($AB117-$K117)/SUM($U105:$AA105))</f>
        <v>6330775.9325137772</v>
      </c>
      <c r="V117" s="299">
        <f t="shared" ca="1" si="83"/>
        <v>2235584.0823388118</v>
      </c>
      <c r="W117" s="299">
        <f t="shared" ca="1" si="83"/>
        <v>715390.14200759691</v>
      </c>
      <c r="X117" s="299">
        <f t="shared" ca="1" si="83"/>
        <v>133063.5965557684</v>
      </c>
      <c r="Y117" s="299">
        <f t="shared" ca="1" si="83"/>
        <v>8052.4220817489741</v>
      </c>
      <c r="Z117" s="299">
        <f t="shared" ca="1" si="83"/>
        <v>1074892.0700959875</v>
      </c>
      <c r="AA117" s="299">
        <f t="shared" ca="1" si="83"/>
        <v>14153.238335132883</v>
      </c>
      <c r="AB117" s="299">
        <f t="shared" ca="1" si="73"/>
        <v>1460.5627153929838</v>
      </c>
      <c r="AC117" s="299"/>
      <c r="AE117" s="291"/>
      <c r="AG117" s="291"/>
    </row>
    <row r="118" spans="2:33">
      <c r="B118" s="291" t="s">
        <v>426</v>
      </c>
      <c r="C118" s="90" t="s">
        <v>437</v>
      </c>
      <c r="D118" s="299">
        <f t="shared" ref="D118:J118" si="84">D106</f>
        <v>1112822.3810328245</v>
      </c>
      <c r="E118" s="299">
        <f t="shared" si="84"/>
        <v>283666.2932828599</v>
      </c>
      <c r="F118" s="299">
        <f t="shared" si="84"/>
        <v>129601.55410444613</v>
      </c>
      <c r="G118" s="299">
        <f t="shared" si="84"/>
        <v>22551.835168682061</v>
      </c>
      <c r="H118" s="299">
        <f t="shared" si="84"/>
        <v>10849.993169886387</v>
      </c>
      <c r="I118" s="299">
        <f t="shared" si="84"/>
        <v>85548.475308937734</v>
      </c>
      <c r="J118" s="299">
        <f t="shared" si="84"/>
        <v>18787.404269297291</v>
      </c>
      <c r="K118" s="291">
        <f>SUMIFS(Sch.47T!F:F,Sch.47T!A:A,"Present",Sch.47T!B:B,"$")*G106/SUM(G$99:G$109)</f>
        <v>230.31446676752779</v>
      </c>
      <c r="L118" s="299">
        <f t="shared" ca="1" si="70"/>
        <v>1215953.7740131537</v>
      </c>
      <c r="M118" s="299">
        <f t="shared" ca="1" si="70"/>
        <v>309224.22652030637</v>
      </c>
      <c r="N118" s="299">
        <f t="shared" ca="1" si="70"/>
        <v>140445.48297398706</v>
      </c>
      <c r="O118" s="299">
        <f t="shared" ca="1" si="70"/>
        <v>23648.456844311331</v>
      </c>
      <c r="P118" s="299">
        <f t="shared" ca="1" si="70"/>
        <v>11641.533679311728</v>
      </c>
      <c r="Q118" s="299">
        <f t="shared" ca="1" si="70"/>
        <v>93757.893468767375</v>
      </c>
      <c r="R118" s="299">
        <f t="shared" ca="1" si="70"/>
        <v>18309.301344449766</v>
      </c>
      <c r="S118" s="299">
        <f t="shared" ca="1" si="71"/>
        <v>253.63565899496061</v>
      </c>
      <c r="T118" s="299"/>
      <c r="U118" s="291">
        <f t="shared" ref="U118:AA118" ca="1" si="85">U106*(1-($AB118-$K118)/SUM($U106:$AA106))</f>
        <v>1294715.3450351255</v>
      </c>
      <c r="V118" s="299">
        <f t="shared" ca="1" si="85"/>
        <v>329253.75922072458</v>
      </c>
      <c r="W118" s="299">
        <f t="shared" ca="1" si="85"/>
        <v>149542.62722270511</v>
      </c>
      <c r="X118" s="299">
        <f t="shared" ca="1" si="85"/>
        <v>25180.249954468745</v>
      </c>
      <c r="Y118" s="299">
        <f t="shared" ca="1" si="85"/>
        <v>12395.596458081363</v>
      </c>
      <c r="Z118" s="299">
        <f t="shared" ca="1" si="85"/>
        <v>99830.919551772808</v>
      </c>
      <c r="AA118" s="299">
        <f t="shared" ca="1" si="85"/>
        <v>19495.258713079111</v>
      </c>
      <c r="AB118" s="299">
        <f t="shared" ca="1" si="73"/>
        <v>276.38916499179226</v>
      </c>
      <c r="AC118" s="299"/>
      <c r="AE118" s="291"/>
      <c r="AG118" s="291"/>
    </row>
    <row r="119" spans="2:33">
      <c r="B119" s="291" t="s">
        <v>426</v>
      </c>
      <c r="C119" s="90" t="s">
        <v>438</v>
      </c>
      <c r="D119" s="299">
        <f t="shared" ref="D119:J119" si="86">D107</f>
        <v>3909387.3818968465</v>
      </c>
      <c r="E119" s="299">
        <f t="shared" si="86"/>
        <v>1186848.4757964606</v>
      </c>
      <c r="F119" s="299">
        <f t="shared" si="86"/>
        <v>308088.33701605827</v>
      </c>
      <c r="G119" s="299">
        <f t="shared" si="86"/>
        <v>93521.407005388639</v>
      </c>
      <c r="H119" s="299">
        <f t="shared" si="86"/>
        <v>7328.0827164688853</v>
      </c>
      <c r="I119" s="299">
        <f t="shared" si="86"/>
        <v>35386.465076383123</v>
      </c>
      <c r="J119" s="299">
        <f t="shared" si="86"/>
        <v>4861.972304499498</v>
      </c>
      <c r="K119" s="291">
        <f>SUMIFS(Sch.47T!F:F,Sch.47T!A:A,"Present",Sch.47T!B:B,"$")*G107/SUM(G$99:G$109)</f>
        <v>955.10333525791691</v>
      </c>
      <c r="L119" s="299">
        <f t="shared" ca="1" si="70"/>
        <v>4604103.3369734976</v>
      </c>
      <c r="M119" s="299">
        <f t="shared" ca="1" si="70"/>
        <v>1410583.8151253844</v>
      </c>
      <c r="N119" s="299">
        <f t="shared" ca="1" si="70"/>
        <v>346557.1753125923</v>
      </c>
      <c r="O119" s="299">
        <f t="shared" ca="1" si="70"/>
        <v>102777.25970381938</v>
      </c>
      <c r="P119" s="299">
        <f t="shared" ca="1" si="70"/>
        <v>5489.2847666448124</v>
      </c>
      <c r="Q119" s="299">
        <f t="shared" ca="1" si="70"/>
        <v>29523.768707124942</v>
      </c>
      <c r="R119" s="299">
        <f t="shared" ca="1" si="70"/>
        <v>2503.6637205306793</v>
      </c>
      <c r="S119" s="299">
        <f t="shared" ca="1" si="71"/>
        <v>1102.3227907243447</v>
      </c>
      <c r="T119" s="299"/>
      <c r="U119" s="291">
        <f t="shared" ref="U119:AA119" ca="1" si="87">U107*(1-($AB119-$K119)/SUM($U107:$AA107))</f>
        <v>4902317.855359151</v>
      </c>
      <c r="V119" s="299">
        <f t="shared" ca="1" si="87"/>
        <v>1501949.395409412</v>
      </c>
      <c r="W119" s="299">
        <f t="shared" ca="1" si="87"/>
        <v>369004.19128180225</v>
      </c>
      <c r="X119" s="299">
        <f t="shared" ca="1" si="87"/>
        <v>109434.29338884504</v>
      </c>
      <c r="Y119" s="299">
        <f t="shared" ca="1" si="87"/>
        <v>5844.8337830669216</v>
      </c>
      <c r="Z119" s="299">
        <f t="shared" ca="1" si="87"/>
        <v>31436.066460135899</v>
      </c>
      <c r="AA119" s="299">
        <f t="shared" ca="1" si="87"/>
        <v>2665.8296877064904</v>
      </c>
      <c r="AB119" s="299">
        <f t="shared" ca="1" si="73"/>
        <v>1201.211520836576</v>
      </c>
      <c r="AC119" s="299"/>
      <c r="AE119" s="291"/>
      <c r="AG119" s="291"/>
    </row>
    <row r="120" spans="2:33">
      <c r="B120" s="291" t="s">
        <v>426</v>
      </c>
      <c r="C120" s="90" t="s">
        <v>432</v>
      </c>
      <c r="D120" s="299">
        <f t="shared" ref="D120:J120" si="88">D108</f>
        <v>7570608.6746200575</v>
      </c>
      <c r="E120" s="299">
        <f t="shared" si="88"/>
        <v>1220686.4772335519</v>
      </c>
      <c r="F120" s="299">
        <f t="shared" si="88"/>
        <v>143870.0526564715</v>
      </c>
      <c r="G120" s="299">
        <f t="shared" si="88"/>
        <v>84744.197159293661</v>
      </c>
      <c r="H120" s="299">
        <f t="shared" si="88"/>
        <v>66073.502728324209</v>
      </c>
      <c r="I120" s="299">
        <f t="shared" si="88"/>
        <v>213643.49095233681</v>
      </c>
      <c r="J120" s="299">
        <f t="shared" si="88"/>
        <v>118405.96849345855</v>
      </c>
      <c r="K120" s="291">
        <f>SUMIFS(Sch.47T!F:F,Sch.47T!A:A,"Present",Sch.47T!B:B,"$")*G108/SUM(G$99:G$109)</f>
        <v>865.46458123680918</v>
      </c>
      <c r="L120" s="299">
        <f t="shared" ca="1" si="70"/>
        <v>7591026.2893381966</v>
      </c>
      <c r="M120" s="299">
        <f t="shared" ca="1" si="70"/>
        <v>1224345.8425947807</v>
      </c>
      <c r="N120" s="299">
        <f t="shared" ca="1" si="70"/>
        <v>140445.04177349963</v>
      </c>
      <c r="O120" s="299">
        <f t="shared" ca="1" si="70"/>
        <v>84895.689312006449</v>
      </c>
      <c r="P120" s="299">
        <f t="shared" ca="1" si="70"/>
        <v>66108.710479424481</v>
      </c>
      <c r="Q120" s="299">
        <f t="shared" ca="1" si="70"/>
        <v>214404.79576185098</v>
      </c>
      <c r="R120" s="299">
        <f t="shared" ca="1" si="70"/>
        <v>118956.70634285867</v>
      </c>
      <c r="S120" s="299">
        <f t="shared" ca="1" si="71"/>
        <v>910.52029462190092</v>
      </c>
      <c r="T120" s="299"/>
      <c r="U120" s="291">
        <f t="shared" ref="U120:AA120" ca="1" si="89">U108*(1-($AB120-$K120)/SUM($U108:$AA108))</f>
        <v>8082749.1723126229</v>
      </c>
      <c r="V120" s="299">
        <f t="shared" ca="1" si="89"/>
        <v>1303655.1276020056</v>
      </c>
      <c r="W120" s="299">
        <f t="shared" ca="1" si="89"/>
        <v>149542.6312440203</v>
      </c>
      <c r="X120" s="299">
        <f t="shared" ca="1" si="89"/>
        <v>90394.965893255154</v>
      </c>
      <c r="Y120" s="299">
        <f t="shared" ca="1" si="89"/>
        <v>70391.025474476133</v>
      </c>
      <c r="Z120" s="299">
        <f t="shared" ca="1" si="89"/>
        <v>228293.26621065399</v>
      </c>
      <c r="AA120" s="299">
        <f t="shared" ca="1" si="89"/>
        <v>126662.34881628925</v>
      </c>
      <c r="AB120" s="299">
        <f t="shared" ca="1" si="73"/>
        <v>992.20253546299637</v>
      </c>
      <c r="AC120" s="299"/>
      <c r="AE120" s="291"/>
      <c r="AG120" s="291"/>
    </row>
    <row r="121" spans="2:33">
      <c r="B121" s="295" t="s">
        <v>426</v>
      </c>
      <c r="C121" s="265" t="s">
        <v>433</v>
      </c>
      <c r="D121" s="299">
        <f t="shared" ref="D121:J121" si="90">D109</f>
        <v>8229236.6390650328</v>
      </c>
      <c r="E121" s="299">
        <f t="shared" si="90"/>
        <v>2398355.6632689354</v>
      </c>
      <c r="F121" s="299">
        <f t="shared" si="90"/>
        <v>3114215.7197505636</v>
      </c>
      <c r="G121" s="299">
        <f t="shared" si="90"/>
        <v>1200992.9724074046</v>
      </c>
      <c r="H121" s="299">
        <f t="shared" si="90"/>
        <v>1401239.7238151128</v>
      </c>
      <c r="I121" s="299">
        <f t="shared" si="90"/>
        <v>696594.53545739304</v>
      </c>
      <c r="J121" s="299">
        <f t="shared" si="90"/>
        <v>60227.283634537867</v>
      </c>
      <c r="K121" s="291">
        <f>SUMIFS(Sch.47T!F:F,Sch.47T!A:A,"Present",Sch.47T!B:B,"$")*G109/SUM(G$99:G$109)</f>
        <v>12265.345767322962</v>
      </c>
      <c r="L121" s="299">
        <f t="shared" ca="1" si="70"/>
        <v>8577875.1031704918</v>
      </c>
      <c r="M121" s="299">
        <f t="shared" ca="1" si="70"/>
        <v>2499926.24177439</v>
      </c>
      <c r="N121" s="299">
        <f t="shared" ca="1" si="70"/>
        <v>3246594.3498420911</v>
      </c>
      <c r="O121" s="299">
        <f t="shared" ca="1" si="70"/>
        <v>1252069.0934929461</v>
      </c>
      <c r="P121" s="299">
        <f t="shared" ca="1" si="70"/>
        <v>1460997.2857268997</v>
      </c>
      <c r="Q121" s="299">
        <f t="shared" ca="1" si="70"/>
        <v>726112.94248264306</v>
      </c>
      <c r="R121" s="299">
        <f t="shared" ca="1" si="70"/>
        <v>62755.432358443497</v>
      </c>
      <c r="S121" s="299">
        <f t="shared" ca="1" si="71"/>
        <v>13429.460735780534</v>
      </c>
      <c r="T121" s="299"/>
      <c r="U121" s="291">
        <f t="shared" ref="U121:AA121" ca="1" si="91">U109*(1-($AB121-$K121)/SUM($U109:$AA109))</f>
        <v>9133051.1024187673</v>
      </c>
      <c r="V121" s="299">
        <f t="shared" ca="1" si="91"/>
        <v>2661726.1085981787</v>
      </c>
      <c r="W121" s="299">
        <f t="shared" ca="1" si="91"/>
        <v>3456719.9626131593</v>
      </c>
      <c r="X121" s="299">
        <f t="shared" ca="1" si="91"/>
        <v>1333105.3293610695</v>
      </c>
      <c r="Y121" s="299">
        <f t="shared" ca="1" si="91"/>
        <v>1555555.7420166926</v>
      </c>
      <c r="Z121" s="299">
        <f t="shared" ca="1" si="91"/>
        <v>773108.31995799334</v>
      </c>
      <c r="AA121" s="299">
        <f t="shared" ca="1" si="91"/>
        <v>66817.0804296516</v>
      </c>
      <c r="AB121" s="299">
        <f t="shared" ca="1" si="73"/>
        <v>14634.209770662372</v>
      </c>
      <c r="AC121" s="299"/>
      <c r="AE121" s="291"/>
      <c r="AG121" s="291"/>
    </row>
    <row r="122" spans="2:33" s="301" customFormat="1">
      <c r="B122" s="282"/>
      <c r="C122" s="264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82"/>
      <c r="AD122" s="281"/>
      <c r="AE122" s="291"/>
      <c r="AG122" s="291"/>
    </row>
    <row r="123" spans="2:33">
      <c r="B123" s="327" t="s">
        <v>483</v>
      </c>
      <c r="C123" s="327" t="s">
        <v>432</v>
      </c>
      <c r="D123" s="291"/>
      <c r="E123" s="291">
        <f t="shared" ref="E123:Q123" si="92">(E118+E119+E120)*(1+E121/SUM(E111:E120))</f>
        <v>2815726.2650152422</v>
      </c>
      <c r="F123" s="291">
        <f t="shared" si="92"/>
        <v>604602.27176872536</v>
      </c>
      <c r="G123" s="291">
        <f t="shared" si="92"/>
        <v>208524.85485531692</v>
      </c>
      <c r="H123" s="291">
        <f t="shared" si="92"/>
        <v>87173.389759696409</v>
      </c>
      <c r="I123" s="291">
        <f t="shared" si="92"/>
        <v>350495.38685628172</v>
      </c>
      <c r="J123" s="291"/>
      <c r="K123" s="291"/>
      <c r="L123" s="291"/>
      <c r="M123" s="291">
        <f t="shared" ca="1" si="92"/>
        <v>3077009.2043812028</v>
      </c>
      <c r="N123" s="291">
        <f t="shared" ca="1" si="92"/>
        <v>651882.13868468441</v>
      </c>
      <c r="O123" s="291">
        <f t="shared" ca="1" si="92"/>
        <v>219300.97319840136</v>
      </c>
      <c r="P123" s="291">
        <f ca="1">(P118+P119+P120)*(1+P121/SUM(P111:P120))</f>
        <v>86093.83513372537</v>
      </c>
      <c r="Q123" s="291">
        <f t="shared" ca="1" si="92"/>
        <v>353309.94985181937</v>
      </c>
      <c r="R123" s="289"/>
      <c r="S123" s="289"/>
      <c r="T123" s="289"/>
      <c r="U123" s="289"/>
      <c r="V123" s="289">
        <f t="shared" ref="V123:Z123" ca="1" si="93">(V118+V119+V120)*(1+V121/SUM(V111:V120))</f>
        <v>3276320.0067990818</v>
      </c>
      <c r="W123" s="289">
        <f t="shared" ca="1" si="93"/>
        <v>694106.91335082683</v>
      </c>
      <c r="X123" s="289">
        <f t="shared" ca="1" si="93"/>
        <v>233506.05590894437</v>
      </c>
      <c r="Y123" s="289">
        <f t="shared" ca="1" si="93"/>
        <v>91670.700245738844</v>
      </c>
      <c r="Z123" s="289">
        <f t="shared" ca="1" si="93"/>
        <v>376195.86785133946</v>
      </c>
      <c r="AA123" s="289"/>
      <c r="AB123" s="289"/>
      <c r="AC123" s="291"/>
      <c r="AE123" s="291"/>
      <c r="AG123" s="291"/>
    </row>
    <row r="124" spans="2:33">
      <c r="B124" s="327" t="s">
        <v>483</v>
      </c>
      <c r="C124" s="327" t="s">
        <v>194</v>
      </c>
      <c r="D124" s="291"/>
      <c r="E124" s="291"/>
      <c r="F124" s="291">
        <f t="shared" ref="F124:Q124" si="94">($AG$128*F111+F113+F115+F116+F117)*(1+F121/SUM(F111:F120))</f>
        <v>25281260.331413727</v>
      </c>
      <c r="G124" s="291">
        <f t="shared" si="94"/>
        <v>9901105.1780963633</v>
      </c>
      <c r="H124" s="291">
        <f t="shared" si="94"/>
        <v>10450871.577094812</v>
      </c>
      <c r="I124" s="291">
        <f t="shared" si="94"/>
        <v>5601959.8127214564</v>
      </c>
      <c r="J124" s="291"/>
      <c r="K124" s="291"/>
      <c r="L124" s="291"/>
      <c r="M124" s="291"/>
      <c r="N124" s="291">
        <f t="shared" ca="1" si="94"/>
        <v>28803906.310936727</v>
      </c>
      <c r="O124" s="291">
        <f t="shared" ca="1" si="94"/>
        <v>11279013.951376786</v>
      </c>
      <c r="P124" s="291">
        <f t="shared" ca="1" si="94"/>
        <v>11995358.642861906</v>
      </c>
      <c r="Q124" s="291">
        <f t="shared" ca="1" si="94"/>
        <v>6439929.5569756301</v>
      </c>
      <c r="R124" s="289"/>
      <c r="S124" s="289"/>
      <c r="T124" s="289"/>
      <c r="U124" s="289"/>
      <c r="V124" s="289"/>
      <c r="W124" s="289">
        <f t="shared" ref="W124:Z124" ca="1" si="95">($AG$128*W111+W113+W115+W116+W117)*(1+W121/SUM(W111:W120))</f>
        <v>30667968.575895347</v>
      </c>
      <c r="X124" s="289">
        <f t="shared" ca="1" si="95"/>
        <v>12008929.539562715</v>
      </c>
      <c r="Y124" s="289">
        <f t="shared" ca="1" si="95"/>
        <v>12771556.334647603</v>
      </c>
      <c r="Z124" s="289">
        <f t="shared" ca="1" si="95"/>
        <v>6856773.6671696687</v>
      </c>
      <c r="AA124" s="289"/>
      <c r="AB124" s="289"/>
      <c r="AC124" s="291"/>
      <c r="AE124" s="291"/>
      <c r="AG124" s="291"/>
    </row>
    <row r="125" spans="2:33">
      <c r="B125" s="327" t="s">
        <v>483</v>
      </c>
      <c r="C125" s="327" t="s">
        <v>481</v>
      </c>
      <c r="D125" s="291"/>
      <c r="E125" s="291"/>
      <c r="F125" s="291">
        <f t="shared" ref="F125:Q125" si="96">((1-$AG$128)*F111)*(1+F121/SUM(F111:F120))</f>
        <v>8157042.3040302023</v>
      </c>
      <c r="G125" s="291">
        <f t="shared" si="96"/>
        <v>3205483.4438167103</v>
      </c>
      <c r="H125" s="291">
        <f t="shared" si="96"/>
        <v>4210720.2586293165</v>
      </c>
      <c r="I125" s="291">
        <f t="shared" si="96"/>
        <v>1539692.8635614589</v>
      </c>
      <c r="J125" s="291"/>
      <c r="K125" s="291"/>
      <c r="L125" s="291"/>
      <c r="M125" s="291"/>
      <c r="N125" s="291">
        <f t="shared" ca="1" si="96"/>
        <v>9096884.8537916373</v>
      </c>
      <c r="O125" s="291">
        <f t="shared" ca="1" si="96"/>
        <v>3575061.7062521083</v>
      </c>
      <c r="P125" s="291">
        <f t="shared" ca="1" si="96"/>
        <v>4697146.8986344337</v>
      </c>
      <c r="Q125" s="291">
        <f t="shared" ca="1" si="96"/>
        <v>1720645.031188362</v>
      </c>
      <c r="R125" s="289"/>
      <c r="S125" s="289"/>
      <c r="T125" s="289"/>
      <c r="U125" s="289"/>
      <c r="V125" s="289"/>
      <c r="W125" s="289">
        <f t="shared" ref="W125:Z125" ca="1" si="97">((1-$AG$128)*W111)*(1+W121/SUM(W111:W120))</f>
        <v>9685604.2711726557</v>
      </c>
      <c r="X125" s="289">
        <f t="shared" ca="1" si="97"/>
        <v>3806427.5439030989</v>
      </c>
      <c r="Y125" s="289">
        <f t="shared" ca="1" si="97"/>
        <v>5001130.4780246047</v>
      </c>
      <c r="Z125" s="289">
        <f t="shared" ca="1" si="97"/>
        <v>1831998.9595941918</v>
      </c>
      <c r="AA125" s="289"/>
      <c r="AB125" s="289"/>
      <c r="AC125" s="291"/>
      <c r="AE125" s="291"/>
      <c r="AG125" s="291"/>
    </row>
    <row r="126" spans="2:33">
      <c r="B126" s="310" t="s">
        <v>483</v>
      </c>
      <c r="C126" s="310" t="s">
        <v>482</v>
      </c>
      <c r="D126" s="295"/>
      <c r="E126" s="295"/>
      <c r="F126" s="295">
        <f t="shared" ref="F126:Q126" si="98">(F112+F114)*(1+F121/SUM(F111:F120))</f>
        <v>47670275.272031583</v>
      </c>
      <c r="G126" s="295">
        <f t="shared" si="98"/>
        <v>19177864.816695236</v>
      </c>
      <c r="H126" s="295">
        <f t="shared" si="98"/>
        <v>27057775.487877965</v>
      </c>
      <c r="I126" s="295">
        <f t="shared" si="98"/>
        <v>7847039.8174472172</v>
      </c>
      <c r="J126" s="295"/>
      <c r="K126" s="295"/>
      <c r="L126" s="295"/>
      <c r="M126" s="295"/>
      <c r="N126" s="295">
        <f t="shared" ca="1" si="98"/>
        <v>48062652.742403001</v>
      </c>
      <c r="O126" s="295">
        <f t="shared" ca="1" si="98"/>
        <v>19337006.673785884</v>
      </c>
      <c r="P126" s="295">
        <f t="shared" ca="1" si="98"/>
        <v>27289153.088216111</v>
      </c>
      <c r="Q126" s="295">
        <f t="shared" ca="1" si="98"/>
        <v>7906447.6582818218</v>
      </c>
      <c r="R126" s="293"/>
      <c r="S126" s="293"/>
      <c r="T126" s="293"/>
      <c r="U126" s="293"/>
      <c r="V126" s="293"/>
      <c r="W126" s="293">
        <f t="shared" ref="W126:Z126" ca="1" si="99">(W112+W114)*(1+W121/SUM(W111:W120))</f>
        <v>51172425.17539005</v>
      </c>
      <c r="X126" s="293">
        <f t="shared" ca="1" si="99"/>
        <v>20588158.885394216</v>
      </c>
      <c r="Y126" s="293">
        <f t="shared" ca="1" si="99"/>
        <v>29054830.044715311</v>
      </c>
      <c r="Z126" s="293">
        <f t="shared" ca="1" si="99"/>
        <v>8418012.7102753893</v>
      </c>
      <c r="AA126" s="293"/>
      <c r="AB126" s="293"/>
      <c r="AC126" s="295"/>
      <c r="AE126" s="291"/>
      <c r="AG126" s="291"/>
    </row>
    <row r="127" spans="2:33">
      <c r="B127" s="213"/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E127" s="291"/>
      <c r="AG127" s="357">
        <v>0.13</v>
      </c>
    </row>
    <row r="128" spans="2:33" s="301" customFormat="1">
      <c r="B128" s="300" t="s">
        <v>483</v>
      </c>
      <c r="C128" s="300" t="s">
        <v>195</v>
      </c>
      <c r="D128" s="213">
        <f>SUM(D111:D121)</f>
        <v>178121171.67881858</v>
      </c>
      <c r="E128" s="213">
        <f t="shared" ref="E128:R128" si="100">SUM(E111:E121)</f>
        <v>54230973.857993782</v>
      </c>
      <c r="F128" s="213">
        <f t="shared" si="100"/>
        <v>81713180.179244235</v>
      </c>
      <c r="G128" s="213">
        <f t="shared" si="100"/>
        <v>32492978.293463629</v>
      </c>
      <c r="H128" s="213">
        <f t="shared" si="100"/>
        <v>41806540.713361785</v>
      </c>
      <c r="I128" s="213">
        <f t="shared" si="100"/>
        <v>15339187.880586417</v>
      </c>
      <c r="J128" s="213">
        <f>SUM(J111:J121)</f>
        <v>924718.34957492608</v>
      </c>
      <c r="K128" s="213">
        <f t="shared" si="100"/>
        <v>331840.08810690854</v>
      </c>
      <c r="L128" s="213">
        <f t="shared" ca="1" si="100"/>
        <v>190936644.49349293</v>
      </c>
      <c r="M128" s="213">
        <f t="shared" ca="1" si="100"/>
        <v>57899796.922438584</v>
      </c>
      <c r="N128" s="213">
        <f t="shared" ca="1" si="100"/>
        <v>86615326.045816049</v>
      </c>
      <c r="O128" s="213">
        <f t="shared" ca="1" si="100"/>
        <v>34410383.30461318</v>
      </c>
      <c r="P128" s="213">
        <f t="shared" ca="1" si="100"/>
        <v>44067752.464846164</v>
      </c>
      <c r="Q128" s="213">
        <f t="shared" ca="1" si="100"/>
        <v>16420332.196297633</v>
      </c>
      <c r="R128" s="213">
        <f t="shared" ca="1" si="100"/>
        <v>1004464.787268914</v>
      </c>
      <c r="S128" s="213">
        <f ca="1">Sch.47T!F24</f>
        <v>369089.94290457672</v>
      </c>
      <c r="T128" s="213">
        <f t="shared" ref="T128" ca="1" si="101">SUM(L128:S128)-SUM(D128:K128)</f>
        <v>26763199.116527736</v>
      </c>
      <c r="U128" s="213">
        <f ca="1">SUM(U111:U121)</f>
        <v>203293795.45162883</v>
      </c>
      <c r="V128" s="213">
        <f t="shared" ref="V128:AA128" ca="1" si="102">SUM(V111:V121)</f>
        <v>61646827.287850834</v>
      </c>
      <c r="W128" s="213">
        <f t="shared" ca="1" si="102"/>
        <v>92220104.935808882</v>
      </c>
      <c r="X128" s="213">
        <f t="shared" ca="1" si="102"/>
        <v>36637022.024768971</v>
      </c>
      <c r="Y128" s="213">
        <f t="shared" ca="1" si="102"/>
        <v>46919187.557633266</v>
      </c>
      <c r="Z128" s="213">
        <f t="shared" ca="1" si="102"/>
        <v>17482981.20489059</v>
      </c>
      <c r="AA128" s="213">
        <f t="shared" ca="1" si="102"/>
        <v>1069488.1769280238</v>
      </c>
      <c r="AB128" s="213">
        <f ca="1">Sch.47T!F38</f>
        <v>402200.7848994573</v>
      </c>
      <c r="AC128" s="213">
        <f t="shared" ref="AC128" ca="1" si="103">SUM(U128:AB128)-SUM(L128:S128)</f>
        <v>27947817.266730845</v>
      </c>
      <c r="AE128" s="295">
        <f ca="1">T128-T10+AC128-AC10</f>
        <v>-6.3329935073852539E-8</v>
      </c>
      <c r="AG128" s="358">
        <f>AG127/(1+AG127)</f>
        <v>0.11504424778761063</v>
      </c>
    </row>
    <row r="129" spans="2:33" s="301" customFormat="1">
      <c r="B129" s="569"/>
      <c r="C129" s="569"/>
      <c r="AG129" s="570"/>
    </row>
    <row r="130" spans="2:33" s="301" customFormat="1">
      <c r="B130" s="300" t="s">
        <v>586</v>
      </c>
      <c r="C130" s="300">
        <f>SUM('Sch.16,17,19'!$Q$27:$Q$33)+SUM(Sch.24!$S$66:$S$103)+SUM('Sch.29,36'!$S$55:$S$89)+SUM(Sch.48T!$T$52:$T$81)+SUM('Sch.48T-DF'!$O$17:$O$23)+SUM(Sch.40!$S$33:$S$47)+SUM('Sch.15,51,53,54'!$G$51:$G$81)-SUM(D128:J128)</f>
        <v>-4.0413737297058105E-2</v>
      </c>
    </row>
  </sheetData>
  <pageMargins left="0.7" right="0.7" top="0.75" bottom="0.75" header="0.3" footer="0.3"/>
  <pageSetup orientation="portrait" r:id="rId1"/>
  <ignoredErrors>
    <ignoredError sqref="S112:S121 T12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F94C-5A11-408A-B907-841CBEA4B71E}">
  <sheetPr>
    <pageSetUpPr autoPageBreaks="0" fitToPage="1"/>
  </sheetPr>
  <dimension ref="B2:U277"/>
  <sheetViews>
    <sheetView showGridLines="0" zoomScale="70" zoomScaleNormal="7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0.875" style="91" customWidth="1"/>
    <col min="2" max="2" width="36" style="91" bestFit="1" customWidth="1"/>
    <col min="3" max="3" width="20.625" style="91" bestFit="1" customWidth="1"/>
    <col min="4" max="4" width="12.625" style="91" bestFit="1" customWidth="1"/>
    <col min="5" max="5" width="11" style="91" bestFit="1" customWidth="1"/>
    <col min="6" max="6" width="7.625" style="91" customWidth="1"/>
    <col min="7" max="7" width="10.5" style="91" customWidth="1"/>
    <col min="8" max="8" width="41.5" style="91" customWidth="1"/>
    <col min="9" max="21" width="15.125" style="91" customWidth="1"/>
    <col min="22" max="22" width="9.25" style="91" customWidth="1"/>
    <col min="23" max="16384" width="9" style="91"/>
  </cols>
  <sheetData>
    <row r="2" spans="2:21">
      <c r="B2" s="224" t="s">
        <v>333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6"/>
    </row>
    <row r="3" spans="2:21">
      <c r="B3" s="144"/>
      <c r="C3" s="144" t="s">
        <v>209</v>
      </c>
      <c r="D3" s="144" t="s">
        <v>153</v>
      </c>
      <c r="E3" s="144" t="s">
        <v>178</v>
      </c>
      <c r="F3" s="144" t="s">
        <v>193</v>
      </c>
      <c r="G3" s="144" t="s">
        <v>194</v>
      </c>
      <c r="H3" s="144" t="s">
        <v>205</v>
      </c>
      <c r="I3" s="145" t="s">
        <v>217</v>
      </c>
      <c r="J3" s="122">
        <v>44378</v>
      </c>
      <c r="K3" s="122">
        <v>44409</v>
      </c>
      <c r="L3" s="122">
        <v>44440</v>
      </c>
      <c r="M3" s="122">
        <v>44470</v>
      </c>
      <c r="N3" s="122">
        <v>44501</v>
      </c>
      <c r="O3" s="122">
        <v>44531</v>
      </c>
      <c r="P3" s="122">
        <v>44562</v>
      </c>
      <c r="Q3" s="122">
        <v>44593</v>
      </c>
      <c r="R3" s="122">
        <v>44621</v>
      </c>
      <c r="S3" s="122">
        <v>44652</v>
      </c>
      <c r="T3" s="122">
        <v>44682</v>
      </c>
      <c r="U3" s="122">
        <v>44713</v>
      </c>
    </row>
    <row r="4" spans="2:21">
      <c r="B4" s="144"/>
      <c r="C4" s="146"/>
      <c r="D4" s="146"/>
      <c r="E4" s="146"/>
      <c r="F4" s="146"/>
      <c r="G4" s="146"/>
      <c r="H4" s="146"/>
      <c r="I4" s="144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2:21">
      <c r="B5" s="102" t="s">
        <v>333</v>
      </c>
      <c r="C5" s="148" t="s">
        <v>422</v>
      </c>
      <c r="D5" s="148" t="s">
        <v>4</v>
      </c>
      <c r="E5" s="148" t="s">
        <v>195</v>
      </c>
      <c r="F5" s="148" t="s">
        <v>195</v>
      </c>
      <c r="G5" s="148" t="s">
        <v>195</v>
      </c>
      <c r="H5" s="148" t="s">
        <v>349</v>
      </c>
      <c r="I5" s="100">
        <f>SUM(J5:U5)</f>
        <v>247734</v>
      </c>
      <c r="J5" s="149">
        <v>19278</v>
      </c>
      <c r="K5" s="149">
        <v>19415</v>
      </c>
      <c r="L5" s="149">
        <v>19685</v>
      </c>
      <c r="M5" s="149">
        <v>20001</v>
      </c>
      <c r="N5" s="149">
        <v>20407</v>
      </c>
      <c r="O5" s="149">
        <v>20595</v>
      </c>
      <c r="P5" s="149">
        <v>20830</v>
      </c>
      <c r="Q5" s="149">
        <v>20994</v>
      </c>
      <c r="R5" s="149">
        <v>21370</v>
      </c>
      <c r="S5" s="149">
        <v>21539</v>
      </c>
      <c r="T5" s="149">
        <v>21723</v>
      </c>
      <c r="U5" s="149">
        <v>21897</v>
      </c>
    </row>
    <row r="6" spans="2:21">
      <c r="B6" s="102" t="s">
        <v>333</v>
      </c>
      <c r="C6" s="148" t="s">
        <v>422</v>
      </c>
      <c r="D6" s="148" t="s">
        <v>4</v>
      </c>
      <c r="E6" s="148" t="s">
        <v>195</v>
      </c>
      <c r="F6" s="148" t="s">
        <v>195</v>
      </c>
      <c r="G6" s="148" t="s">
        <v>195</v>
      </c>
      <c r="H6" s="148" t="s">
        <v>350</v>
      </c>
      <c r="I6" s="100">
        <f t="shared" ref="I6:I68" si="0">SUM(J6:U6)</f>
        <v>452344</v>
      </c>
      <c r="J6" s="149">
        <v>36089</v>
      </c>
      <c r="K6" s="149">
        <v>36209</v>
      </c>
      <c r="L6" s="149">
        <v>36559</v>
      </c>
      <c r="M6" s="149">
        <v>36886</v>
      </c>
      <c r="N6" s="149">
        <v>37284</v>
      </c>
      <c r="O6" s="149">
        <v>37508</v>
      </c>
      <c r="P6" s="149">
        <v>37754</v>
      </c>
      <c r="Q6" s="149">
        <v>38069</v>
      </c>
      <c r="R6" s="149">
        <v>38582</v>
      </c>
      <c r="S6" s="149">
        <v>38878</v>
      </c>
      <c r="T6" s="149">
        <v>39126</v>
      </c>
      <c r="U6" s="149">
        <v>39400</v>
      </c>
    </row>
    <row r="7" spans="2:21">
      <c r="B7" s="102" t="s">
        <v>333</v>
      </c>
      <c r="C7" s="148" t="s">
        <v>422</v>
      </c>
      <c r="D7" s="148" t="s">
        <v>4</v>
      </c>
      <c r="E7" s="148" t="s">
        <v>195</v>
      </c>
      <c r="F7" s="148" t="s">
        <v>195</v>
      </c>
      <c r="G7" s="148" t="s">
        <v>195</v>
      </c>
      <c r="H7" s="148" t="s">
        <v>335</v>
      </c>
      <c r="I7" s="100">
        <f t="shared" si="0"/>
        <v>1328900.3587096774</v>
      </c>
      <c r="J7" s="149">
        <v>110253.03096774191</v>
      </c>
      <c r="K7" s="149">
        <v>110356.59096774195</v>
      </c>
      <c r="L7" s="149">
        <v>110384.08129032257</v>
      </c>
      <c r="M7" s="149">
        <v>110369.36774193549</v>
      </c>
      <c r="N7" s="149">
        <v>110565.16000000002</v>
      </c>
      <c r="O7" s="149">
        <v>110965.45548387097</v>
      </c>
      <c r="P7" s="149">
        <v>111015.79096774192</v>
      </c>
      <c r="Q7" s="149">
        <v>110848.08258064515</v>
      </c>
      <c r="R7" s="149">
        <v>110981.7548387097</v>
      </c>
      <c r="S7" s="149">
        <v>111013.96774193548</v>
      </c>
      <c r="T7" s="149">
        <v>111012.60516129034</v>
      </c>
      <c r="U7" s="149">
        <v>111134.47096774196</v>
      </c>
    </row>
    <row r="8" spans="2:21">
      <c r="B8" s="102" t="s">
        <v>333</v>
      </c>
      <c r="C8" s="148" t="s">
        <v>422</v>
      </c>
      <c r="D8" s="148" t="s">
        <v>4</v>
      </c>
      <c r="E8" s="148" t="s">
        <v>195</v>
      </c>
      <c r="F8" s="148" t="s">
        <v>195</v>
      </c>
      <c r="G8" s="148" t="s">
        <v>195</v>
      </c>
      <c r="H8" s="148" t="s">
        <v>196</v>
      </c>
      <c r="I8" s="100">
        <f t="shared" si="0"/>
        <v>6381.4662921348308</v>
      </c>
      <c r="J8" s="149">
        <v>528</v>
      </c>
      <c r="K8" s="149">
        <v>494</v>
      </c>
      <c r="L8" s="149">
        <v>472</v>
      </c>
      <c r="M8" s="149">
        <v>609</v>
      </c>
      <c r="N8" s="149">
        <v>628</v>
      </c>
      <c r="O8" s="149">
        <v>462</v>
      </c>
      <c r="P8" s="149">
        <v>467</v>
      </c>
      <c r="Q8" s="149">
        <v>426</v>
      </c>
      <c r="R8" s="149">
        <v>577.93258426966293</v>
      </c>
      <c r="S8" s="149">
        <v>416.06741573033702</v>
      </c>
      <c r="T8" s="149">
        <v>448.53370786516854</v>
      </c>
      <c r="U8" s="149">
        <v>852.93258426966293</v>
      </c>
    </row>
    <row r="9" spans="2:21">
      <c r="B9" s="102" t="s">
        <v>333</v>
      </c>
      <c r="C9" s="148" t="s">
        <v>422</v>
      </c>
      <c r="D9" s="148" t="s">
        <v>4</v>
      </c>
      <c r="E9" s="148" t="s">
        <v>195</v>
      </c>
      <c r="F9" s="148" t="s">
        <v>195</v>
      </c>
      <c r="G9" s="148" t="s">
        <v>195</v>
      </c>
      <c r="H9" s="148" t="s">
        <v>280</v>
      </c>
      <c r="I9" s="100">
        <f t="shared" si="0"/>
        <v>596.1514285714286</v>
      </c>
      <c r="J9" s="149">
        <v>47.382857142857141</v>
      </c>
      <c r="K9" s="149">
        <v>47.282857142857139</v>
      </c>
      <c r="L9" s="149">
        <v>46.965714285714284</v>
      </c>
      <c r="M9" s="149">
        <v>45.965714285714284</v>
      </c>
      <c r="N9" s="149">
        <v>48.948571428571427</v>
      </c>
      <c r="O9" s="149">
        <v>50.965714285714284</v>
      </c>
      <c r="P9" s="149">
        <v>51.44</v>
      </c>
      <c r="Q9" s="149">
        <v>53.42285714285714</v>
      </c>
      <c r="R9" s="149">
        <v>51.408571428571427</v>
      </c>
      <c r="S9" s="149">
        <v>51.471428571428575</v>
      </c>
      <c r="T9" s="149">
        <v>51.44</v>
      </c>
      <c r="U9" s="149">
        <v>49.457142857142856</v>
      </c>
    </row>
    <row r="10" spans="2:21">
      <c r="B10" s="102" t="s">
        <v>333</v>
      </c>
      <c r="C10" s="148" t="s">
        <v>422</v>
      </c>
      <c r="D10" s="148" t="s">
        <v>4</v>
      </c>
      <c r="E10" s="148" t="s">
        <v>195</v>
      </c>
      <c r="F10" s="148" t="s">
        <v>195</v>
      </c>
      <c r="G10" s="148" t="s">
        <v>195</v>
      </c>
      <c r="H10" s="101" t="s">
        <v>366</v>
      </c>
      <c r="I10" s="100">
        <f t="shared" si="0"/>
        <v>340424.48000000004</v>
      </c>
      <c r="J10" s="149">
        <v>31760.720000000001</v>
      </c>
      <c r="K10" s="149">
        <v>29468.639999999999</v>
      </c>
      <c r="L10" s="149">
        <v>21853.200000000001</v>
      </c>
      <c r="M10" s="149">
        <v>18647.800000000003</v>
      </c>
      <c r="N10" s="149">
        <v>23635.4</v>
      </c>
      <c r="O10" s="149">
        <v>34121.160000000003</v>
      </c>
      <c r="P10" s="149">
        <v>47028.960000000006</v>
      </c>
      <c r="Q10" s="149">
        <v>37454.92</v>
      </c>
      <c r="R10" s="149">
        <v>29232.720000000001</v>
      </c>
      <c r="S10" s="149">
        <v>23543.559999999998</v>
      </c>
      <c r="T10" s="149">
        <v>22732.639999999999</v>
      </c>
      <c r="U10" s="149">
        <v>20944.760000000002</v>
      </c>
    </row>
    <row r="11" spans="2:21">
      <c r="B11" s="102" t="s">
        <v>333</v>
      </c>
      <c r="C11" s="148" t="s">
        <v>229</v>
      </c>
      <c r="D11" s="148" t="s">
        <v>4</v>
      </c>
      <c r="E11" s="148" t="s">
        <v>195</v>
      </c>
      <c r="F11" s="148" t="s">
        <v>195</v>
      </c>
      <c r="G11" s="148" t="s">
        <v>195</v>
      </c>
      <c r="H11" s="148" t="s">
        <v>349</v>
      </c>
      <c r="I11" s="100">
        <f t="shared" si="0"/>
        <v>8319</v>
      </c>
      <c r="J11" s="149">
        <v>644</v>
      </c>
      <c r="K11" s="149">
        <v>653</v>
      </c>
      <c r="L11" s="149">
        <v>666</v>
      </c>
      <c r="M11" s="149">
        <v>674</v>
      </c>
      <c r="N11" s="149">
        <v>684</v>
      </c>
      <c r="O11" s="149">
        <v>688</v>
      </c>
      <c r="P11" s="149">
        <v>694</v>
      </c>
      <c r="Q11" s="149">
        <v>708</v>
      </c>
      <c r="R11" s="149">
        <v>718</v>
      </c>
      <c r="S11" s="149">
        <v>728</v>
      </c>
      <c r="T11" s="149">
        <v>730</v>
      </c>
      <c r="U11" s="149">
        <v>732</v>
      </c>
    </row>
    <row r="12" spans="2:21">
      <c r="B12" s="102" t="s">
        <v>333</v>
      </c>
      <c r="C12" s="148" t="s">
        <v>229</v>
      </c>
      <c r="D12" s="148" t="s">
        <v>4</v>
      </c>
      <c r="E12" s="148" t="s">
        <v>195</v>
      </c>
      <c r="F12" s="148" t="s">
        <v>195</v>
      </c>
      <c r="G12" s="148" t="s">
        <v>195</v>
      </c>
      <c r="H12" s="148" t="s">
        <v>350</v>
      </c>
      <c r="I12" s="100">
        <f t="shared" si="0"/>
        <v>11191</v>
      </c>
      <c r="J12" s="149">
        <v>895</v>
      </c>
      <c r="K12" s="149">
        <v>895</v>
      </c>
      <c r="L12" s="149">
        <v>905</v>
      </c>
      <c r="M12" s="149">
        <v>917</v>
      </c>
      <c r="N12" s="149">
        <v>920</v>
      </c>
      <c r="O12" s="149">
        <v>930</v>
      </c>
      <c r="P12" s="149">
        <v>935</v>
      </c>
      <c r="Q12" s="149">
        <v>946</v>
      </c>
      <c r="R12" s="149">
        <v>954</v>
      </c>
      <c r="S12" s="149">
        <v>960</v>
      </c>
      <c r="T12" s="149">
        <v>963</v>
      </c>
      <c r="U12" s="149">
        <v>971</v>
      </c>
    </row>
    <row r="13" spans="2:21">
      <c r="B13" s="102" t="s">
        <v>333</v>
      </c>
      <c r="C13" s="148" t="s">
        <v>229</v>
      </c>
      <c r="D13" s="148" t="s">
        <v>4</v>
      </c>
      <c r="E13" s="148" t="s">
        <v>195</v>
      </c>
      <c r="F13" s="148" t="s">
        <v>199</v>
      </c>
      <c r="G13" s="148" t="s">
        <v>195</v>
      </c>
      <c r="H13" s="148" t="s">
        <v>335</v>
      </c>
      <c r="I13" s="100">
        <f t="shared" si="0"/>
        <v>39261.300000000003</v>
      </c>
      <c r="J13" s="149">
        <v>3271.8999999999996</v>
      </c>
      <c r="K13" s="149">
        <v>3276.9666666666676</v>
      </c>
      <c r="L13" s="149">
        <v>3272.6333333333332</v>
      </c>
      <c r="M13" s="149">
        <v>3271.5333333333328</v>
      </c>
      <c r="N13" s="149">
        <v>3275.7333333333327</v>
      </c>
      <c r="O13" s="149">
        <v>3279.1666666666674</v>
      </c>
      <c r="P13" s="149">
        <v>3278.4000000000015</v>
      </c>
      <c r="Q13" s="149">
        <v>3266.1333333333328</v>
      </c>
      <c r="R13" s="149">
        <v>3267.2999999999993</v>
      </c>
      <c r="S13" s="149">
        <v>3270.2</v>
      </c>
      <c r="T13" s="149">
        <v>3265.333333333333</v>
      </c>
      <c r="U13" s="149">
        <v>3266</v>
      </c>
    </row>
    <row r="14" spans="2:21">
      <c r="B14" s="102" t="s">
        <v>333</v>
      </c>
      <c r="C14" s="148" t="s">
        <v>229</v>
      </c>
      <c r="D14" s="148" t="s">
        <v>4</v>
      </c>
      <c r="E14" s="148" t="s">
        <v>195</v>
      </c>
      <c r="F14" s="148" t="s">
        <v>200</v>
      </c>
      <c r="G14" s="148" t="s">
        <v>195</v>
      </c>
      <c r="H14" s="148" t="s">
        <v>335</v>
      </c>
      <c r="I14" s="100">
        <f t="shared" si="0"/>
        <v>2717.666666666667</v>
      </c>
      <c r="J14" s="149">
        <v>227</v>
      </c>
      <c r="K14" s="149">
        <v>227</v>
      </c>
      <c r="L14" s="149">
        <v>227</v>
      </c>
      <c r="M14" s="149">
        <v>226.7</v>
      </c>
      <c r="N14" s="149">
        <v>226.06666666666666</v>
      </c>
      <c r="O14" s="149">
        <v>226.13333333333333</v>
      </c>
      <c r="P14" s="149">
        <v>226.9</v>
      </c>
      <c r="Q14" s="149">
        <v>226.96666666666667</v>
      </c>
      <c r="R14" s="149">
        <v>225.9</v>
      </c>
      <c r="S14" s="149">
        <v>226</v>
      </c>
      <c r="T14" s="149">
        <v>226</v>
      </c>
      <c r="U14" s="149">
        <v>226</v>
      </c>
    </row>
    <row r="15" spans="2:21">
      <c r="B15" s="102" t="s">
        <v>333</v>
      </c>
      <c r="C15" s="148" t="s">
        <v>229</v>
      </c>
      <c r="D15" s="148" t="s">
        <v>4</v>
      </c>
      <c r="E15" s="148" t="s">
        <v>195</v>
      </c>
      <c r="F15" s="148" t="s">
        <v>195</v>
      </c>
      <c r="G15" s="148" t="s">
        <v>195</v>
      </c>
      <c r="H15" s="148" t="s">
        <v>281</v>
      </c>
      <c r="I15" s="100">
        <f t="shared" si="0"/>
        <v>24552.924358974364</v>
      </c>
      <c r="J15" s="149">
        <v>1998.9916666666668</v>
      </c>
      <c r="K15" s="149">
        <v>1989.5064102564102</v>
      </c>
      <c r="L15" s="149">
        <v>1990.2692307692307</v>
      </c>
      <c r="M15" s="149">
        <v>2048.1903846153846</v>
      </c>
      <c r="N15" s="149">
        <v>2042.2307692307693</v>
      </c>
      <c r="O15" s="149">
        <v>2078.8051282051283</v>
      </c>
      <c r="P15" s="149">
        <v>2121.874358974359</v>
      </c>
      <c r="Q15" s="149">
        <v>2139.125641025641</v>
      </c>
      <c r="R15" s="149">
        <v>2014.9307692307693</v>
      </c>
      <c r="S15" s="149">
        <v>2020.3833333333334</v>
      </c>
      <c r="T15" s="149">
        <v>2049.7435897435894</v>
      </c>
      <c r="U15" s="149">
        <v>2058.873076923077</v>
      </c>
    </row>
    <row r="16" spans="2:21">
      <c r="B16" s="102" t="s">
        <v>333</v>
      </c>
      <c r="C16" s="148" t="s">
        <v>229</v>
      </c>
      <c r="D16" s="148" t="s">
        <v>4</v>
      </c>
      <c r="E16" s="148" t="s">
        <v>195</v>
      </c>
      <c r="F16" s="148" t="s">
        <v>195</v>
      </c>
      <c r="G16" s="148" t="s">
        <v>195</v>
      </c>
      <c r="H16" s="148" t="s">
        <v>202</v>
      </c>
      <c r="I16" s="100">
        <f t="shared" si="0"/>
        <v>14515.131233595803</v>
      </c>
      <c r="J16" s="149">
        <v>1017</v>
      </c>
      <c r="K16" s="149">
        <v>934.20209973753288</v>
      </c>
      <c r="L16" s="149">
        <v>972.39895013123351</v>
      </c>
      <c r="M16" s="149">
        <v>1047.6010498687665</v>
      </c>
      <c r="N16" s="149">
        <v>1216.6325459317586</v>
      </c>
      <c r="O16" s="149">
        <v>1361.3280839895012</v>
      </c>
      <c r="P16" s="149">
        <v>1765.0341207349084</v>
      </c>
      <c r="Q16" s="149">
        <v>1560.3989501312335</v>
      </c>
      <c r="R16" s="149">
        <v>1376.4330708661419</v>
      </c>
      <c r="S16" s="149">
        <v>1166.7664041994751</v>
      </c>
      <c r="T16" s="149">
        <v>1128.734908136483</v>
      </c>
      <c r="U16" s="149">
        <v>968.60104986876638</v>
      </c>
    </row>
    <row r="17" spans="2:21">
      <c r="B17" s="102" t="s">
        <v>333</v>
      </c>
      <c r="C17" s="148" t="s">
        <v>229</v>
      </c>
      <c r="D17" s="148" t="s">
        <v>4</v>
      </c>
      <c r="E17" s="148" t="s">
        <v>195</v>
      </c>
      <c r="F17" s="148" t="s">
        <v>195</v>
      </c>
      <c r="G17" s="148" t="s">
        <v>195</v>
      </c>
      <c r="H17" s="148" t="s">
        <v>201</v>
      </c>
      <c r="I17" s="100">
        <f t="shared" si="0"/>
        <v>113</v>
      </c>
      <c r="J17" s="149">
        <v>16</v>
      </c>
      <c r="K17" s="149">
        <v>17</v>
      </c>
      <c r="L17" s="149">
        <v>17</v>
      </c>
      <c r="M17" s="149">
        <v>13</v>
      </c>
      <c r="N17" s="149">
        <v>4</v>
      </c>
      <c r="O17" s="149">
        <v>5</v>
      </c>
      <c r="P17" s="149">
        <v>2</v>
      </c>
      <c r="Q17" s="149">
        <v>6</v>
      </c>
      <c r="R17" s="149">
        <v>5</v>
      </c>
      <c r="S17" s="149">
        <v>6</v>
      </c>
      <c r="T17" s="149">
        <v>9</v>
      </c>
      <c r="U17" s="149">
        <v>13</v>
      </c>
    </row>
    <row r="18" spans="2:21">
      <c r="B18" s="102" t="s">
        <v>333</v>
      </c>
      <c r="C18" s="148" t="s">
        <v>229</v>
      </c>
      <c r="D18" s="148" t="s">
        <v>5</v>
      </c>
      <c r="E18" s="148" t="s">
        <v>195</v>
      </c>
      <c r="F18" s="148" t="s">
        <v>195</v>
      </c>
      <c r="G18" s="148" t="s">
        <v>195</v>
      </c>
      <c r="H18" s="148" t="s">
        <v>349</v>
      </c>
      <c r="I18" s="100">
        <f t="shared" si="0"/>
        <v>29994</v>
      </c>
      <c r="J18" s="149">
        <v>2338</v>
      </c>
      <c r="K18" s="149">
        <v>2358</v>
      </c>
      <c r="L18" s="149">
        <v>2385</v>
      </c>
      <c r="M18" s="149">
        <v>2414</v>
      </c>
      <c r="N18" s="149">
        <v>2453</v>
      </c>
      <c r="O18" s="149">
        <v>2481</v>
      </c>
      <c r="P18" s="149">
        <v>2513</v>
      </c>
      <c r="Q18" s="149">
        <v>2538</v>
      </c>
      <c r="R18" s="149">
        <v>2572</v>
      </c>
      <c r="S18" s="149">
        <v>2606</v>
      </c>
      <c r="T18" s="149">
        <v>2651</v>
      </c>
      <c r="U18" s="149">
        <v>2685</v>
      </c>
    </row>
    <row r="19" spans="2:21">
      <c r="B19" s="102" t="s">
        <v>333</v>
      </c>
      <c r="C19" s="148" t="s">
        <v>229</v>
      </c>
      <c r="D19" s="148" t="s">
        <v>5</v>
      </c>
      <c r="E19" s="148" t="s">
        <v>195</v>
      </c>
      <c r="F19" s="148" t="s">
        <v>195</v>
      </c>
      <c r="G19" s="148" t="s">
        <v>195</v>
      </c>
      <c r="H19" s="148" t="s">
        <v>350</v>
      </c>
      <c r="I19" s="100">
        <f t="shared" si="0"/>
        <v>54240</v>
      </c>
      <c r="J19" s="149">
        <v>4313</v>
      </c>
      <c r="K19" s="149">
        <v>4321</v>
      </c>
      <c r="L19" s="149">
        <v>4377</v>
      </c>
      <c r="M19" s="149">
        <v>4435</v>
      </c>
      <c r="N19" s="149">
        <v>4446</v>
      </c>
      <c r="O19" s="149">
        <v>4471</v>
      </c>
      <c r="P19" s="149">
        <v>4518</v>
      </c>
      <c r="Q19" s="149">
        <v>4546</v>
      </c>
      <c r="R19" s="149">
        <v>4616</v>
      </c>
      <c r="S19" s="149">
        <v>4657</v>
      </c>
      <c r="T19" s="149">
        <v>4741</v>
      </c>
      <c r="U19" s="149">
        <v>4799</v>
      </c>
    </row>
    <row r="20" spans="2:21">
      <c r="B20" s="102" t="s">
        <v>333</v>
      </c>
      <c r="C20" s="148" t="s">
        <v>229</v>
      </c>
      <c r="D20" s="148" t="s">
        <v>5</v>
      </c>
      <c r="E20" s="148" t="s">
        <v>195</v>
      </c>
      <c r="F20" s="148" t="s">
        <v>199</v>
      </c>
      <c r="G20" s="148" t="s">
        <v>195</v>
      </c>
      <c r="H20" s="148" t="s">
        <v>335</v>
      </c>
      <c r="I20" s="100">
        <f t="shared" si="0"/>
        <v>137486.80000000002</v>
      </c>
      <c r="J20" s="149">
        <v>11411.233333333334</v>
      </c>
      <c r="K20" s="149">
        <v>11425.83333333333</v>
      </c>
      <c r="L20" s="149">
        <v>11403.666666666666</v>
      </c>
      <c r="M20" s="149">
        <v>11418.966666666669</v>
      </c>
      <c r="N20" s="149">
        <v>11443.066666666669</v>
      </c>
      <c r="O20" s="149">
        <v>11474.733333333332</v>
      </c>
      <c r="P20" s="149">
        <v>11477.999999999993</v>
      </c>
      <c r="Q20" s="149">
        <v>11460.16666666667</v>
      </c>
      <c r="R20" s="149">
        <v>11489.233333333337</v>
      </c>
      <c r="S20" s="149">
        <v>11473.266666666668</v>
      </c>
      <c r="T20" s="149">
        <v>11486.933333333334</v>
      </c>
      <c r="U20" s="149">
        <v>11521.699999999999</v>
      </c>
    </row>
    <row r="21" spans="2:21">
      <c r="B21" s="102" t="s">
        <v>333</v>
      </c>
      <c r="C21" s="148" t="s">
        <v>229</v>
      </c>
      <c r="D21" s="148" t="s">
        <v>5</v>
      </c>
      <c r="E21" s="148" t="s">
        <v>195</v>
      </c>
      <c r="F21" s="148" t="s">
        <v>199</v>
      </c>
      <c r="G21" s="148" t="s">
        <v>195</v>
      </c>
      <c r="H21" s="148" t="s">
        <v>336</v>
      </c>
      <c r="I21" s="100">
        <f t="shared" si="0"/>
        <v>2.6301369863013697</v>
      </c>
      <c r="J21" s="149">
        <v>0</v>
      </c>
      <c r="K21" s="149">
        <v>0</v>
      </c>
      <c r="L21" s="149">
        <v>0</v>
      </c>
      <c r="M21" s="149">
        <v>0</v>
      </c>
      <c r="N21" s="149">
        <v>2.6301369863013697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</row>
    <row r="22" spans="2:21">
      <c r="B22" s="102" t="s">
        <v>333</v>
      </c>
      <c r="C22" s="148" t="s">
        <v>229</v>
      </c>
      <c r="D22" s="148" t="s">
        <v>5</v>
      </c>
      <c r="E22" s="148" t="s">
        <v>195</v>
      </c>
      <c r="F22" s="148" t="s">
        <v>200</v>
      </c>
      <c r="G22" s="148" t="s">
        <v>195</v>
      </c>
      <c r="H22" s="148" t="s">
        <v>335</v>
      </c>
      <c r="I22" s="100">
        <f t="shared" si="0"/>
        <v>64614.799999999988</v>
      </c>
      <c r="J22" s="149">
        <v>5393.2666666666673</v>
      </c>
      <c r="K22" s="149">
        <v>5384.2000000000007</v>
      </c>
      <c r="L22" s="149">
        <v>5378.7333333333336</v>
      </c>
      <c r="M22" s="149">
        <v>5374.9333333333325</v>
      </c>
      <c r="N22" s="149">
        <v>5371.4333333333316</v>
      </c>
      <c r="O22" s="149">
        <v>5386.7</v>
      </c>
      <c r="P22" s="149">
        <v>5387.5666666666684</v>
      </c>
      <c r="Q22" s="149">
        <v>5375.7333333333318</v>
      </c>
      <c r="R22" s="149">
        <v>5388.699999999998</v>
      </c>
      <c r="S22" s="149">
        <v>5385.0999999999985</v>
      </c>
      <c r="T22" s="149">
        <v>5389.1333333333323</v>
      </c>
      <c r="U22" s="149">
        <v>5399.3</v>
      </c>
    </row>
    <row r="23" spans="2:21">
      <c r="B23" s="102" t="s">
        <v>333</v>
      </c>
      <c r="C23" s="148" t="s">
        <v>229</v>
      </c>
      <c r="D23" s="148" t="s">
        <v>5</v>
      </c>
      <c r="E23" s="148" t="s">
        <v>195</v>
      </c>
      <c r="F23" s="148" t="s">
        <v>200</v>
      </c>
      <c r="G23" s="148" t="s">
        <v>195</v>
      </c>
      <c r="H23" s="148" t="s">
        <v>336</v>
      </c>
      <c r="I23" s="100">
        <f t="shared" si="0"/>
        <v>63.471232876712314</v>
      </c>
      <c r="J23" s="149">
        <v>0</v>
      </c>
      <c r="K23" s="149">
        <v>0</v>
      </c>
      <c r="L23" s="149">
        <v>0</v>
      </c>
      <c r="M23" s="149">
        <v>0</v>
      </c>
      <c r="N23" s="149">
        <v>62.150684931506831</v>
      </c>
      <c r="O23" s="149">
        <v>0</v>
      </c>
      <c r="P23" s="149">
        <v>0</v>
      </c>
      <c r="Q23" s="149">
        <v>0.19178082191780821</v>
      </c>
      <c r="R23" s="149">
        <v>0.30410958904109592</v>
      </c>
      <c r="S23" s="149">
        <v>0</v>
      </c>
      <c r="T23" s="149">
        <v>0.8246575342465754</v>
      </c>
      <c r="U23" s="149">
        <v>0</v>
      </c>
    </row>
    <row r="24" spans="2:21">
      <c r="B24" s="102" t="s">
        <v>333</v>
      </c>
      <c r="C24" s="148" t="s">
        <v>229</v>
      </c>
      <c r="D24" s="148" t="s">
        <v>5</v>
      </c>
      <c r="E24" s="148" t="s">
        <v>195</v>
      </c>
      <c r="F24" s="148" t="s">
        <v>195</v>
      </c>
      <c r="G24" s="148" t="s">
        <v>195</v>
      </c>
      <c r="H24" s="148" t="s">
        <v>281</v>
      </c>
      <c r="I24" s="100">
        <f t="shared" si="0"/>
        <v>1187878.7378205128</v>
      </c>
      <c r="J24" s="149">
        <v>99876.58205128205</v>
      </c>
      <c r="K24" s="149">
        <v>100083.1641025641</v>
      </c>
      <c r="L24" s="149">
        <v>99727.209615384621</v>
      </c>
      <c r="M24" s="149">
        <v>99636.014743589738</v>
      </c>
      <c r="N24" s="149">
        <v>98616.714743589735</v>
      </c>
      <c r="O24" s="149">
        <v>98715.899358974362</v>
      </c>
      <c r="P24" s="149">
        <v>98716.667307692303</v>
      </c>
      <c r="Q24" s="149">
        <v>98538.346153846156</v>
      </c>
      <c r="R24" s="149">
        <v>98607.953205128215</v>
      </c>
      <c r="S24" s="149">
        <v>98765.269871794866</v>
      </c>
      <c r="T24" s="149">
        <v>98187.490384615376</v>
      </c>
      <c r="U24" s="149">
        <v>98407.426282051281</v>
      </c>
    </row>
    <row r="25" spans="2:21">
      <c r="B25" s="102" t="s">
        <v>333</v>
      </c>
      <c r="C25" s="148" t="s">
        <v>229</v>
      </c>
      <c r="D25" s="148" t="s">
        <v>5</v>
      </c>
      <c r="E25" s="148" t="s">
        <v>195</v>
      </c>
      <c r="F25" s="148" t="s">
        <v>195</v>
      </c>
      <c r="G25" s="148" t="s">
        <v>195</v>
      </c>
      <c r="H25" s="148" t="s">
        <v>283</v>
      </c>
      <c r="I25" s="100">
        <f t="shared" si="0"/>
        <v>2130.0812961011588</v>
      </c>
      <c r="J25" s="149">
        <v>0</v>
      </c>
      <c r="K25" s="149">
        <v>0</v>
      </c>
      <c r="L25" s="149">
        <v>0</v>
      </c>
      <c r="M25" s="149">
        <v>0</v>
      </c>
      <c r="N25" s="149">
        <v>2108.3416030031608</v>
      </c>
      <c r="O25" s="149">
        <v>0</v>
      </c>
      <c r="P25" s="149">
        <v>0</v>
      </c>
      <c r="Q25" s="149">
        <v>5.1778736389181592</v>
      </c>
      <c r="R25" s="149">
        <v>3.0412715138742521</v>
      </c>
      <c r="S25" s="149">
        <v>0</v>
      </c>
      <c r="T25" s="149">
        <v>13.520547945205477</v>
      </c>
      <c r="U25" s="149">
        <v>0</v>
      </c>
    </row>
    <row r="26" spans="2:21">
      <c r="B26" s="102" t="s">
        <v>333</v>
      </c>
      <c r="C26" s="148" t="s">
        <v>229</v>
      </c>
      <c r="D26" s="148" t="s">
        <v>5</v>
      </c>
      <c r="E26" s="148" t="s">
        <v>195</v>
      </c>
      <c r="F26" s="148" t="s">
        <v>195</v>
      </c>
      <c r="G26" s="148" t="s">
        <v>195</v>
      </c>
      <c r="H26" s="148" t="s">
        <v>202</v>
      </c>
      <c r="I26" s="100">
        <f t="shared" si="0"/>
        <v>715183.48293963249</v>
      </c>
      <c r="J26" s="149">
        <v>74324.769028871393</v>
      </c>
      <c r="K26" s="149">
        <v>68993.07086614173</v>
      </c>
      <c r="L26" s="149">
        <v>66045.469816272962</v>
      </c>
      <c r="M26" s="149">
        <v>59381.207349081356</v>
      </c>
      <c r="N26" s="149">
        <v>55445.343832020997</v>
      </c>
      <c r="O26" s="149">
        <v>56710.779527559047</v>
      </c>
      <c r="P26" s="149">
        <v>59012.850393700792</v>
      </c>
      <c r="Q26" s="149">
        <v>56361.398950131224</v>
      </c>
      <c r="R26" s="149">
        <v>57278.341207349076</v>
      </c>
      <c r="S26" s="149">
        <v>55578.309711286092</v>
      </c>
      <c r="T26" s="149">
        <v>53081.170603674531</v>
      </c>
      <c r="U26" s="149">
        <v>52970.771653543314</v>
      </c>
    </row>
    <row r="27" spans="2:21">
      <c r="B27" s="102" t="s">
        <v>333</v>
      </c>
      <c r="C27" s="148" t="s">
        <v>229</v>
      </c>
      <c r="D27" s="148" t="s">
        <v>5</v>
      </c>
      <c r="E27" s="148" t="s">
        <v>195</v>
      </c>
      <c r="F27" s="148" t="s">
        <v>195</v>
      </c>
      <c r="G27" s="148" t="s">
        <v>195</v>
      </c>
      <c r="H27" s="148" t="s">
        <v>201</v>
      </c>
      <c r="I27" s="100">
        <f t="shared" si="0"/>
        <v>108913.48275862068</v>
      </c>
      <c r="J27" s="149">
        <v>10485.189655172415</v>
      </c>
      <c r="K27" s="149">
        <v>11080.103448275862</v>
      </c>
      <c r="L27" s="149">
        <v>12804.327586206897</v>
      </c>
      <c r="M27" s="149">
        <v>12060.896551724139</v>
      </c>
      <c r="N27" s="149">
        <v>9286.5689655172409</v>
      </c>
      <c r="O27" s="149">
        <v>7276.4310344827582</v>
      </c>
      <c r="P27" s="149">
        <v>6477</v>
      </c>
      <c r="Q27" s="149">
        <v>6510.1379310344828</v>
      </c>
      <c r="R27" s="149">
        <v>7076.4655172413795</v>
      </c>
      <c r="S27" s="149">
        <v>8104.7413793103451</v>
      </c>
      <c r="T27" s="149">
        <v>8201.2068965517246</v>
      </c>
      <c r="U27" s="149">
        <v>9550.4137931034475</v>
      </c>
    </row>
    <row r="28" spans="2:21">
      <c r="B28" s="102" t="s">
        <v>333</v>
      </c>
      <c r="C28" s="148" t="s">
        <v>229</v>
      </c>
      <c r="D28" s="148" t="s">
        <v>5</v>
      </c>
      <c r="E28" s="148" t="s">
        <v>195</v>
      </c>
      <c r="F28" s="148" t="s">
        <v>195</v>
      </c>
      <c r="G28" s="148" t="s">
        <v>195</v>
      </c>
      <c r="H28" s="173" t="s">
        <v>367</v>
      </c>
      <c r="I28" s="100">
        <f t="shared" si="0"/>
        <v>104394</v>
      </c>
      <c r="J28" s="149">
        <v>9151</v>
      </c>
      <c r="K28" s="149">
        <v>9166</v>
      </c>
      <c r="L28" s="149">
        <v>9066</v>
      </c>
      <c r="M28" s="149">
        <v>9169</v>
      </c>
      <c r="N28" s="149">
        <v>9075</v>
      </c>
      <c r="O28" s="149">
        <v>7884</v>
      </c>
      <c r="P28" s="149">
        <v>8958</v>
      </c>
      <c r="Q28" s="149">
        <v>8917</v>
      </c>
      <c r="R28" s="149">
        <v>8859</v>
      </c>
      <c r="S28" s="149">
        <v>8253</v>
      </c>
      <c r="T28" s="149">
        <v>8064</v>
      </c>
      <c r="U28" s="149">
        <v>7832</v>
      </c>
    </row>
    <row r="29" spans="2:21">
      <c r="B29" s="102" t="s">
        <v>333</v>
      </c>
      <c r="C29" s="148" t="s">
        <v>229</v>
      </c>
      <c r="D29" s="148" t="s">
        <v>5</v>
      </c>
      <c r="E29" s="148" t="s">
        <v>195</v>
      </c>
      <c r="F29" s="148" t="s">
        <v>195</v>
      </c>
      <c r="G29" s="148" t="s">
        <v>195</v>
      </c>
      <c r="H29" s="173" t="s">
        <v>358</v>
      </c>
      <c r="I29" s="100">
        <f t="shared" si="0"/>
        <v>3766.6333333333332</v>
      </c>
      <c r="J29" s="149">
        <v>313.5333333333333</v>
      </c>
      <c r="K29" s="149">
        <v>316</v>
      </c>
      <c r="L29" s="149">
        <v>316</v>
      </c>
      <c r="M29" s="149">
        <v>314</v>
      </c>
      <c r="N29" s="149">
        <v>316.60000000000002</v>
      </c>
      <c r="O29" s="149">
        <v>315</v>
      </c>
      <c r="P29" s="149">
        <v>321</v>
      </c>
      <c r="Q29" s="149">
        <v>316</v>
      </c>
      <c r="R29" s="149">
        <v>316</v>
      </c>
      <c r="S29" s="149">
        <v>317</v>
      </c>
      <c r="T29" s="149">
        <v>307.5</v>
      </c>
      <c r="U29" s="149">
        <v>298</v>
      </c>
    </row>
    <row r="30" spans="2:21">
      <c r="B30" s="102" t="s">
        <v>333</v>
      </c>
      <c r="C30" s="148" t="s">
        <v>229</v>
      </c>
      <c r="D30" s="148" t="s">
        <v>5</v>
      </c>
      <c r="E30" s="148" t="s">
        <v>195</v>
      </c>
      <c r="F30" s="148" t="s">
        <v>195</v>
      </c>
      <c r="G30" s="148" t="s">
        <v>195</v>
      </c>
      <c r="H30" s="173" t="s">
        <v>368</v>
      </c>
      <c r="I30" s="100">
        <f t="shared" si="0"/>
        <v>132.06666666666666</v>
      </c>
      <c r="J30" s="149">
        <v>11.066666666666666</v>
      </c>
      <c r="K30" s="149">
        <v>11</v>
      </c>
      <c r="L30" s="149">
        <v>11</v>
      </c>
      <c r="M30" s="149">
        <v>11</v>
      </c>
      <c r="N30" s="149">
        <v>11</v>
      </c>
      <c r="O30" s="149">
        <v>11</v>
      </c>
      <c r="P30" s="149">
        <v>11</v>
      </c>
      <c r="Q30" s="149">
        <v>11</v>
      </c>
      <c r="R30" s="149">
        <v>11</v>
      </c>
      <c r="S30" s="149">
        <v>11</v>
      </c>
      <c r="T30" s="149">
        <v>11</v>
      </c>
      <c r="U30" s="149">
        <v>11</v>
      </c>
    </row>
    <row r="31" spans="2:21">
      <c r="B31" s="102" t="s">
        <v>333</v>
      </c>
      <c r="C31" s="148" t="s">
        <v>229</v>
      </c>
      <c r="D31" s="148" t="s">
        <v>7</v>
      </c>
      <c r="E31" s="148" t="s">
        <v>195</v>
      </c>
      <c r="F31" s="148" t="s">
        <v>195</v>
      </c>
      <c r="G31" s="148" t="s">
        <v>195</v>
      </c>
      <c r="H31" s="148" t="s">
        <v>349</v>
      </c>
      <c r="I31" s="100">
        <f t="shared" si="0"/>
        <v>317</v>
      </c>
      <c r="J31" s="149">
        <v>24</v>
      </c>
      <c r="K31" s="149">
        <v>21</v>
      </c>
      <c r="L31" s="149">
        <v>23</v>
      </c>
      <c r="M31" s="149">
        <v>24</v>
      </c>
      <c r="N31" s="149">
        <v>24</v>
      </c>
      <c r="O31" s="149">
        <v>27</v>
      </c>
      <c r="P31" s="149">
        <v>27</v>
      </c>
      <c r="Q31" s="149">
        <v>29</v>
      </c>
      <c r="R31" s="149">
        <v>30</v>
      </c>
      <c r="S31" s="149">
        <v>31</v>
      </c>
      <c r="T31" s="149">
        <v>28</v>
      </c>
      <c r="U31" s="149">
        <v>29</v>
      </c>
    </row>
    <row r="32" spans="2:21">
      <c r="B32" s="102" t="s">
        <v>333</v>
      </c>
      <c r="C32" s="148" t="s">
        <v>229</v>
      </c>
      <c r="D32" s="148" t="s">
        <v>7</v>
      </c>
      <c r="E32" s="148" t="s">
        <v>195</v>
      </c>
      <c r="F32" s="148" t="s">
        <v>195</v>
      </c>
      <c r="G32" s="148" t="s">
        <v>195</v>
      </c>
      <c r="H32" s="148" t="s">
        <v>350</v>
      </c>
      <c r="I32" s="100">
        <f t="shared" si="0"/>
        <v>927</v>
      </c>
      <c r="J32" s="149">
        <v>75</v>
      </c>
      <c r="K32" s="149">
        <v>75</v>
      </c>
      <c r="L32" s="149">
        <v>76</v>
      </c>
      <c r="M32" s="149">
        <v>76</v>
      </c>
      <c r="N32" s="149">
        <v>77</v>
      </c>
      <c r="O32" s="149">
        <v>78</v>
      </c>
      <c r="P32" s="149">
        <v>77</v>
      </c>
      <c r="Q32" s="149">
        <v>77</v>
      </c>
      <c r="R32" s="149">
        <v>77</v>
      </c>
      <c r="S32" s="149">
        <v>79</v>
      </c>
      <c r="T32" s="149">
        <v>80</v>
      </c>
      <c r="U32" s="149">
        <v>80</v>
      </c>
    </row>
    <row r="33" spans="2:21">
      <c r="B33" s="102" t="s">
        <v>333</v>
      </c>
      <c r="C33" s="148" t="s">
        <v>229</v>
      </c>
      <c r="D33" s="148" t="s">
        <v>7</v>
      </c>
      <c r="E33" s="148" t="s">
        <v>195</v>
      </c>
      <c r="F33" s="148" t="s">
        <v>199</v>
      </c>
      <c r="G33" s="148" t="s">
        <v>195</v>
      </c>
      <c r="H33" s="148" t="s">
        <v>335</v>
      </c>
      <c r="I33" s="100">
        <f t="shared" si="0"/>
        <v>2064.5333333333333</v>
      </c>
      <c r="J33" s="149">
        <v>172</v>
      </c>
      <c r="K33" s="149">
        <v>172</v>
      </c>
      <c r="L33" s="149">
        <v>172</v>
      </c>
      <c r="M33" s="149">
        <v>172</v>
      </c>
      <c r="N33" s="149">
        <v>172</v>
      </c>
      <c r="O33" s="149">
        <v>172.26666666666665</v>
      </c>
      <c r="P33" s="149">
        <v>172.1</v>
      </c>
      <c r="Q33" s="149">
        <v>171.9666666666667</v>
      </c>
      <c r="R33" s="149">
        <v>172.23333333333332</v>
      </c>
      <c r="S33" s="149">
        <v>171.96666666666667</v>
      </c>
      <c r="T33" s="149">
        <v>172</v>
      </c>
      <c r="U33" s="149">
        <v>172</v>
      </c>
    </row>
    <row r="34" spans="2:21">
      <c r="B34" s="102" t="s">
        <v>333</v>
      </c>
      <c r="C34" s="148" t="s">
        <v>229</v>
      </c>
      <c r="D34" s="148" t="s">
        <v>7</v>
      </c>
      <c r="E34" s="148" t="s">
        <v>195</v>
      </c>
      <c r="F34" s="148" t="s">
        <v>200</v>
      </c>
      <c r="G34" s="148" t="s">
        <v>195</v>
      </c>
      <c r="H34" s="148" t="s">
        <v>335</v>
      </c>
      <c r="I34" s="100">
        <f t="shared" si="0"/>
        <v>2816.0666666666666</v>
      </c>
      <c r="J34" s="149">
        <v>235</v>
      </c>
      <c r="K34" s="149">
        <v>233.60000000000002</v>
      </c>
      <c r="L34" s="149">
        <v>233.26666666666665</v>
      </c>
      <c r="M34" s="149">
        <v>234</v>
      </c>
      <c r="N34" s="149">
        <v>235.89999999999998</v>
      </c>
      <c r="O34" s="149">
        <v>235.29999999999998</v>
      </c>
      <c r="P34" s="149">
        <v>235.1</v>
      </c>
      <c r="Q34" s="149">
        <v>235.06666666666666</v>
      </c>
      <c r="R34" s="149">
        <v>234.9666666666667</v>
      </c>
      <c r="S34" s="149">
        <v>235.86666666666665</v>
      </c>
      <c r="T34" s="149">
        <v>235</v>
      </c>
      <c r="U34" s="149">
        <v>233</v>
      </c>
    </row>
    <row r="35" spans="2:21">
      <c r="B35" s="102" t="s">
        <v>333</v>
      </c>
      <c r="C35" s="148" t="s">
        <v>229</v>
      </c>
      <c r="D35" s="148" t="s">
        <v>7</v>
      </c>
      <c r="E35" s="148" t="s">
        <v>195</v>
      </c>
      <c r="F35" s="148" t="s">
        <v>200</v>
      </c>
      <c r="G35" s="148" t="s">
        <v>195</v>
      </c>
      <c r="H35" s="148" t="s">
        <v>336</v>
      </c>
      <c r="I35" s="100">
        <f t="shared" si="0"/>
        <v>1</v>
      </c>
      <c r="J35" s="149">
        <v>0</v>
      </c>
      <c r="K35" s="149">
        <v>0</v>
      </c>
      <c r="L35" s="149">
        <v>0</v>
      </c>
      <c r="M35" s="149">
        <v>0</v>
      </c>
      <c r="N35" s="149">
        <v>1</v>
      </c>
      <c r="O35" s="149">
        <v>0</v>
      </c>
      <c r="P35" s="149">
        <v>0</v>
      </c>
      <c r="Q35" s="149">
        <v>0</v>
      </c>
      <c r="R35" s="149">
        <v>0</v>
      </c>
      <c r="S35" s="149">
        <v>0</v>
      </c>
      <c r="T35" s="149">
        <v>0</v>
      </c>
      <c r="U35" s="149">
        <v>0</v>
      </c>
    </row>
    <row r="36" spans="2:21">
      <c r="B36" s="102" t="s">
        <v>333</v>
      </c>
      <c r="C36" s="148" t="s">
        <v>229</v>
      </c>
      <c r="D36" s="148" t="s">
        <v>7</v>
      </c>
      <c r="E36" s="148" t="s">
        <v>195</v>
      </c>
      <c r="F36" s="148" t="s">
        <v>195</v>
      </c>
      <c r="G36" s="148" t="s">
        <v>195</v>
      </c>
      <c r="H36" s="148" t="s">
        <v>281</v>
      </c>
      <c r="I36" s="100">
        <f t="shared" si="0"/>
        <v>50566.221153846156</v>
      </c>
      <c r="J36" s="149">
        <v>4011.3365384615386</v>
      </c>
      <c r="K36" s="149">
        <v>3997.2019230769229</v>
      </c>
      <c r="L36" s="149">
        <v>4088</v>
      </c>
      <c r="M36" s="149">
        <v>4103</v>
      </c>
      <c r="N36" s="149">
        <v>4280</v>
      </c>
      <c r="O36" s="149">
        <v>4401.8557692307695</v>
      </c>
      <c r="P36" s="149">
        <v>4455.1346153846152</v>
      </c>
      <c r="Q36" s="149">
        <v>4264</v>
      </c>
      <c r="R36" s="149">
        <v>4238.7980769230771</v>
      </c>
      <c r="S36" s="149">
        <v>4326.8942307692305</v>
      </c>
      <c r="T36" s="149">
        <v>4231</v>
      </c>
      <c r="U36" s="149">
        <v>4169</v>
      </c>
    </row>
    <row r="37" spans="2:21">
      <c r="B37" s="102" t="s">
        <v>333</v>
      </c>
      <c r="C37" s="148" t="s">
        <v>229</v>
      </c>
      <c r="D37" s="148" t="s">
        <v>7</v>
      </c>
      <c r="E37" s="148" t="s">
        <v>195</v>
      </c>
      <c r="F37" s="148" t="s">
        <v>195</v>
      </c>
      <c r="G37" s="148" t="s">
        <v>195</v>
      </c>
      <c r="H37" s="148" t="s">
        <v>283</v>
      </c>
      <c r="I37" s="100">
        <f t="shared" si="0"/>
        <v>55.99970802599227</v>
      </c>
      <c r="J37" s="149">
        <v>0</v>
      </c>
      <c r="K37" s="149">
        <v>0</v>
      </c>
      <c r="L37" s="149">
        <v>0</v>
      </c>
      <c r="M37" s="149">
        <v>0</v>
      </c>
      <c r="N37" s="149">
        <v>55.99970802599227</v>
      </c>
      <c r="O37" s="149">
        <v>0</v>
      </c>
      <c r="P37" s="149">
        <v>0</v>
      </c>
      <c r="Q37" s="149">
        <v>0</v>
      </c>
      <c r="R37" s="149">
        <v>0</v>
      </c>
      <c r="S37" s="149">
        <v>0</v>
      </c>
      <c r="T37" s="149">
        <v>0</v>
      </c>
      <c r="U37" s="149">
        <v>0</v>
      </c>
    </row>
    <row r="38" spans="2:21">
      <c r="B38" s="102" t="s">
        <v>333</v>
      </c>
      <c r="C38" s="148" t="s">
        <v>229</v>
      </c>
      <c r="D38" s="148" t="s">
        <v>7</v>
      </c>
      <c r="E38" s="148" t="s">
        <v>195</v>
      </c>
      <c r="F38" s="148" t="s">
        <v>195</v>
      </c>
      <c r="G38" s="148" t="s">
        <v>195</v>
      </c>
      <c r="H38" s="148" t="s">
        <v>202</v>
      </c>
      <c r="I38" s="100">
        <f t="shared" si="0"/>
        <v>32855.535433070865</v>
      </c>
      <c r="J38" s="149">
        <v>2856</v>
      </c>
      <c r="K38" s="149">
        <v>2677.732283464567</v>
      </c>
      <c r="L38" s="149">
        <v>2928</v>
      </c>
      <c r="M38" s="149">
        <v>2752</v>
      </c>
      <c r="N38" s="149">
        <v>2623</v>
      </c>
      <c r="O38" s="149">
        <v>2810.8005249343832</v>
      </c>
      <c r="P38" s="149">
        <v>2988</v>
      </c>
      <c r="Q38" s="149">
        <v>2823</v>
      </c>
      <c r="R38" s="149">
        <v>2771.3018372703414</v>
      </c>
      <c r="S38" s="149">
        <v>2646.7007874015744</v>
      </c>
      <c r="T38" s="149">
        <v>2559</v>
      </c>
      <c r="U38" s="149">
        <v>2420</v>
      </c>
    </row>
    <row r="39" spans="2:21">
      <c r="B39" s="102" t="s">
        <v>333</v>
      </c>
      <c r="C39" s="148" t="s">
        <v>229</v>
      </c>
      <c r="D39" s="148" t="s">
        <v>7</v>
      </c>
      <c r="E39" s="148" t="s">
        <v>195</v>
      </c>
      <c r="F39" s="148" t="s">
        <v>195</v>
      </c>
      <c r="G39" s="148" t="s">
        <v>195</v>
      </c>
      <c r="H39" s="148" t="s">
        <v>201</v>
      </c>
      <c r="I39" s="100">
        <f t="shared" si="0"/>
        <v>14449.086206896553</v>
      </c>
      <c r="J39" s="149">
        <v>1198.6724137931035</v>
      </c>
      <c r="K39" s="149">
        <v>1283.9310344827586</v>
      </c>
      <c r="L39" s="149">
        <v>1316.7241379310344</v>
      </c>
      <c r="M39" s="149">
        <v>1270</v>
      </c>
      <c r="N39" s="149">
        <v>1223.6034482758621</v>
      </c>
      <c r="O39" s="149">
        <v>1183.3793103448277</v>
      </c>
      <c r="P39" s="149">
        <v>1206</v>
      </c>
      <c r="Q39" s="149">
        <v>1080</v>
      </c>
      <c r="R39" s="149">
        <v>1075.1724137931035</v>
      </c>
      <c r="S39" s="149">
        <v>1201.6034482758621</v>
      </c>
      <c r="T39" s="149">
        <v>1231</v>
      </c>
      <c r="U39" s="149">
        <v>1179</v>
      </c>
    </row>
    <row r="40" spans="2:21">
      <c r="B40" s="102" t="s">
        <v>333</v>
      </c>
      <c r="C40" s="148" t="s">
        <v>229</v>
      </c>
      <c r="D40" s="148" t="s">
        <v>7</v>
      </c>
      <c r="E40" s="148" t="s">
        <v>195</v>
      </c>
      <c r="F40" s="148" t="s">
        <v>195</v>
      </c>
      <c r="G40" s="148" t="s">
        <v>195</v>
      </c>
      <c r="H40" s="173" t="s">
        <v>367</v>
      </c>
      <c r="I40" s="100">
        <f t="shared" si="0"/>
        <v>11942</v>
      </c>
      <c r="J40" s="149">
        <v>2378</v>
      </c>
      <c r="K40" s="149">
        <v>1950</v>
      </c>
      <c r="L40" s="149">
        <v>461.99999999999994</v>
      </c>
      <c r="M40" s="149">
        <v>461.99999999999994</v>
      </c>
      <c r="N40" s="149">
        <v>820</v>
      </c>
      <c r="O40" s="149">
        <v>820</v>
      </c>
      <c r="P40" s="149">
        <v>820</v>
      </c>
      <c r="Q40" s="149">
        <v>802</v>
      </c>
      <c r="R40" s="149">
        <v>828.00000000000011</v>
      </c>
      <c r="S40" s="149">
        <v>848</v>
      </c>
      <c r="T40" s="149">
        <v>849</v>
      </c>
      <c r="U40" s="149">
        <v>903.00000000000011</v>
      </c>
    </row>
    <row r="41" spans="2:21">
      <c r="B41" s="102" t="s">
        <v>333</v>
      </c>
      <c r="C41" s="148" t="s">
        <v>229</v>
      </c>
      <c r="D41" s="148" t="s">
        <v>7</v>
      </c>
      <c r="E41" s="148" t="s">
        <v>195</v>
      </c>
      <c r="F41" s="148" t="s">
        <v>195</v>
      </c>
      <c r="G41" s="148" t="s">
        <v>195</v>
      </c>
      <c r="H41" s="173" t="s">
        <v>358</v>
      </c>
      <c r="I41" s="100">
        <f t="shared" si="0"/>
        <v>489.2</v>
      </c>
      <c r="J41" s="149">
        <v>83</v>
      </c>
      <c r="K41" s="149">
        <v>73.2</v>
      </c>
      <c r="L41" s="149">
        <v>34</v>
      </c>
      <c r="M41" s="149">
        <v>34</v>
      </c>
      <c r="N41" s="149">
        <v>34</v>
      </c>
      <c r="O41" s="149">
        <v>34</v>
      </c>
      <c r="P41" s="149">
        <v>34</v>
      </c>
      <c r="Q41" s="149">
        <v>34</v>
      </c>
      <c r="R41" s="149">
        <v>34</v>
      </c>
      <c r="S41" s="149">
        <v>34</v>
      </c>
      <c r="T41" s="149">
        <v>34</v>
      </c>
      <c r="U41" s="149">
        <v>27</v>
      </c>
    </row>
    <row r="42" spans="2:21">
      <c r="B42" s="102" t="s">
        <v>333</v>
      </c>
      <c r="C42" s="148" t="s">
        <v>229</v>
      </c>
      <c r="D42" s="148" t="s">
        <v>7</v>
      </c>
      <c r="E42" s="148" t="s">
        <v>195</v>
      </c>
      <c r="F42" s="148" t="s">
        <v>195</v>
      </c>
      <c r="G42" s="148" t="s">
        <v>195</v>
      </c>
      <c r="H42" s="173" t="s">
        <v>368</v>
      </c>
      <c r="I42" s="100">
        <f t="shared" si="0"/>
        <v>25.933333333333334</v>
      </c>
      <c r="J42" s="149">
        <v>3</v>
      </c>
      <c r="K42" s="149">
        <v>2.9333333333333336</v>
      </c>
      <c r="L42" s="149">
        <v>2</v>
      </c>
      <c r="M42" s="149">
        <v>2</v>
      </c>
      <c r="N42" s="149">
        <v>2</v>
      </c>
      <c r="O42" s="149">
        <v>2</v>
      </c>
      <c r="P42" s="149">
        <v>2</v>
      </c>
      <c r="Q42" s="149">
        <v>2</v>
      </c>
      <c r="R42" s="149">
        <v>2</v>
      </c>
      <c r="S42" s="149">
        <v>2</v>
      </c>
      <c r="T42" s="149">
        <v>2</v>
      </c>
      <c r="U42" s="149">
        <v>2</v>
      </c>
    </row>
    <row r="43" spans="2:21">
      <c r="B43" s="102" t="s">
        <v>333</v>
      </c>
      <c r="C43" s="148" t="s">
        <v>279</v>
      </c>
      <c r="D43" s="148" t="s">
        <v>4</v>
      </c>
      <c r="E43" s="148" t="s">
        <v>195</v>
      </c>
      <c r="F43" s="148" t="s">
        <v>195</v>
      </c>
      <c r="G43" s="148" t="s">
        <v>195</v>
      </c>
      <c r="H43" s="148" t="s">
        <v>349</v>
      </c>
      <c r="I43" s="100">
        <f t="shared" si="0"/>
        <v>18</v>
      </c>
      <c r="J43" s="149">
        <v>1</v>
      </c>
      <c r="K43" s="149">
        <v>1</v>
      </c>
      <c r="L43" s="149">
        <v>1</v>
      </c>
      <c r="M43" s="149">
        <v>1</v>
      </c>
      <c r="N43" s="149">
        <v>1</v>
      </c>
      <c r="O43" s="149">
        <v>1</v>
      </c>
      <c r="P43" s="149">
        <v>2</v>
      </c>
      <c r="Q43" s="149">
        <v>2</v>
      </c>
      <c r="R43" s="149">
        <v>2</v>
      </c>
      <c r="S43" s="149">
        <v>2</v>
      </c>
      <c r="T43" s="149">
        <v>2</v>
      </c>
      <c r="U43" s="149">
        <v>2</v>
      </c>
    </row>
    <row r="44" spans="2:21">
      <c r="B44" s="102" t="s">
        <v>333</v>
      </c>
      <c r="C44" s="148" t="s">
        <v>279</v>
      </c>
      <c r="D44" s="148" t="s">
        <v>4</v>
      </c>
      <c r="E44" s="148" t="s">
        <v>195</v>
      </c>
      <c r="F44" s="148" t="s">
        <v>195</v>
      </c>
      <c r="G44" s="148" t="s">
        <v>195</v>
      </c>
      <c r="H44" s="148" t="s">
        <v>350</v>
      </c>
      <c r="I44" s="100">
        <f t="shared" si="0"/>
        <v>18</v>
      </c>
      <c r="J44" s="149">
        <v>1</v>
      </c>
      <c r="K44" s="149">
        <v>1</v>
      </c>
      <c r="L44" s="149">
        <v>1</v>
      </c>
      <c r="M44" s="149">
        <v>1</v>
      </c>
      <c r="N44" s="149">
        <v>1</v>
      </c>
      <c r="O44" s="149">
        <v>1</v>
      </c>
      <c r="P44" s="149">
        <v>2</v>
      </c>
      <c r="Q44" s="149">
        <v>2</v>
      </c>
      <c r="R44" s="149">
        <v>2</v>
      </c>
      <c r="S44" s="149">
        <v>2</v>
      </c>
      <c r="T44" s="149">
        <v>2</v>
      </c>
      <c r="U44" s="149">
        <v>2</v>
      </c>
    </row>
    <row r="45" spans="2:21">
      <c r="B45" s="102" t="s">
        <v>333</v>
      </c>
      <c r="C45" s="148" t="s">
        <v>279</v>
      </c>
      <c r="D45" s="148" t="s">
        <v>4</v>
      </c>
      <c r="E45" s="148" t="s">
        <v>195</v>
      </c>
      <c r="F45" s="148" t="s">
        <v>195</v>
      </c>
      <c r="G45" s="148" t="s">
        <v>203</v>
      </c>
      <c r="H45" s="148" t="s">
        <v>335</v>
      </c>
      <c r="I45" s="100">
        <f t="shared" si="0"/>
        <v>2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1</v>
      </c>
      <c r="Q45" s="149">
        <v>1</v>
      </c>
      <c r="R45" s="149">
        <v>0</v>
      </c>
      <c r="S45" s="149">
        <v>0</v>
      </c>
      <c r="T45" s="149">
        <v>0</v>
      </c>
      <c r="U45" s="149">
        <v>0</v>
      </c>
    </row>
    <row r="46" spans="2:21">
      <c r="B46" s="102" t="s">
        <v>333</v>
      </c>
      <c r="C46" s="148" t="s">
        <v>279</v>
      </c>
      <c r="D46" s="148" t="s">
        <v>4</v>
      </c>
      <c r="E46" s="148" t="s">
        <v>195</v>
      </c>
      <c r="F46" s="148" t="s">
        <v>195</v>
      </c>
      <c r="G46" s="148" t="s">
        <v>284</v>
      </c>
      <c r="H46" s="148" t="s">
        <v>335</v>
      </c>
      <c r="I46" s="100">
        <f t="shared" si="0"/>
        <v>37</v>
      </c>
      <c r="J46" s="149">
        <v>3</v>
      </c>
      <c r="K46" s="149">
        <v>3</v>
      </c>
      <c r="L46" s="149">
        <v>3</v>
      </c>
      <c r="M46" s="149">
        <v>3</v>
      </c>
      <c r="N46" s="149">
        <v>3</v>
      </c>
      <c r="O46" s="149">
        <v>2</v>
      </c>
      <c r="P46" s="149">
        <v>2</v>
      </c>
      <c r="Q46" s="149">
        <v>2</v>
      </c>
      <c r="R46" s="149">
        <v>4</v>
      </c>
      <c r="S46" s="149">
        <v>4</v>
      </c>
      <c r="T46" s="149">
        <v>4</v>
      </c>
      <c r="U46" s="149">
        <v>4</v>
      </c>
    </row>
    <row r="47" spans="2:21">
      <c r="B47" s="102" t="s">
        <v>333</v>
      </c>
      <c r="C47" s="148" t="s">
        <v>279</v>
      </c>
      <c r="D47" s="148" t="s">
        <v>4</v>
      </c>
      <c r="E47" s="148" t="s">
        <v>195</v>
      </c>
      <c r="F47" s="148" t="s">
        <v>195</v>
      </c>
      <c r="G47" s="148" t="s">
        <v>204</v>
      </c>
      <c r="H47" s="148" t="s">
        <v>335</v>
      </c>
      <c r="I47" s="100">
        <f t="shared" si="0"/>
        <v>7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1</v>
      </c>
      <c r="P47" s="149">
        <v>1</v>
      </c>
      <c r="Q47" s="149">
        <v>1</v>
      </c>
      <c r="R47" s="149">
        <v>1</v>
      </c>
      <c r="S47" s="149">
        <v>1</v>
      </c>
      <c r="T47" s="149">
        <v>1</v>
      </c>
      <c r="U47" s="149">
        <v>1</v>
      </c>
    </row>
    <row r="48" spans="2:21">
      <c r="B48" s="102" t="s">
        <v>333</v>
      </c>
      <c r="C48" s="148" t="s">
        <v>279</v>
      </c>
      <c r="D48" s="148" t="s">
        <v>4</v>
      </c>
      <c r="E48" s="148" t="s">
        <v>195</v>
      </c>
      <c r="F48" s="148" t="s">
        <v>195</v>
      </c>
      <c r="G48" s="148" t="s">
        <v>284</v>
      </c>
      <c r="H48" s="148" t="s">
        <v>281</v>
      </c>
      <c r="I48" s="100">
        <f t="shared" si="0"/>
        <v>5273</v>
      </c>
      <c r="J48" s="149">
        <v>526</v>
      </c>
      <c r="K48" s="149">
        <v>526</v>
      </c>
      <c r="L48" s="149">
        <v>526</v>
      </c>
      <c r="M48" s="149">
        <v>526</v>
      </c>
      <c r="N48" s="149">
        <v>526</v>
      </c>
      <c r="O48" s="149">
        <v>229</v>
      </c>
      <c r="P48" s="149">
        <v>245</v>
      </c>
      <c r="Q48" s="149">
        <v>245</v>
      </c>
      <c r="R48" s="149">
        <v>481</v>
      </c>
      <c r="S48" s="149">
        <v>481</v>
      </c>
      <c r="T48" s="149">
        <v>481</v>
      </c>
      <c r="U48" s="149">
        <v>481</v>
      </c>
    </row>
    <row r="49" spans="2:21">
      <c r="B49" s="102" t="s">
        <v>333</v>
      </c>
      <c r="C49" s="148" t="s">
        <v>279</v>
      </c>
      <c r="D49" s="148" t="s">
        <v>4</v>
      </c>
      <c r="E49" s="148" t="s">
        <v>195</v>
      </c>
      <c r="F49" s="148" t="s">
        <v>195</v>
      </c>
      <c r="G49" s="148" t="s">
        <v>204</v>
      </c>
      <c r="H49" s="148" t="s">
        <v>281</v>
      </c>
      <c r="I49" s="100">
        <f t="shared" si="0"/>
        <v>2167</v>
      </c>
      <c r="J49" s="149">
        <v>0</v>
      </c>
      <c r="K49" s="149">
        <v>0</v>
      </c>
      <c r="L49" s="149">
        <v>0</v>
      </c>
      <c r="M49" s="149">
        <v>0</v>
      </c>
      <c r="N49" s="149">
        <v>0</v>
      </c>
      <c r="O49" s="149">
        <v>304</v>
      </c>
      <c r="P49" s="149">
        <v>314</v>
      </c>
      <c r="Q49" s="149">
        <v>301</v>
      </c>
      <c r="R49" s="149">
        <v>312</v>
      </c>
      <c r="S49" s="149">
        <v>312</v>
      </c>
      <c r="T49" s="149">
        <v>312</v>
      </c>
      <c r="U49" s="149">
        <v>312</v>
      </c>
    </row>
    <row r="50" spans="2:21">
      <c r="B50" s="102" t="s">
        <v>333</v>
      </c>
      <c r="C50" s="148" t="s">
        <v>279</v>
      </c>
      <c r="D50" s="148" t="s">
        <v>4</v>
      </c>
      <c r="E50" s="148" t="s">
        <v>195</v>
      </c>
      <c r="F50" s="148" t="s">
        <v>195</v>
      </c>
      <c r="G50" s="148" t="s">
        <v>195</v>
      </c>
      <c r="H50" s="148" t="s">
        <v>202</v>
      </c>
      <c r="I50" s="100">
        <f t="shared" si="0"/>
        <v>5873</v>
      </c>
      <c r="J50" s="149">
        <v>388</v>
      </c>
      <c r="K50" s="149">
        <v>323</v>
      </c>
      <c r="L50" s="149">
        <v>322</v>
      </c>
      <c r="M50" s="149">
        <v>348</v>
      </c>
      <c r="N50" s="149">
        <v>413</v>
      </c>
      <c r="O50" s="149">
        <v>502</v>
      </c>
      <c r="P50" s="149">
        <v>671</v>
      </c>
      <c r="Q50" s="149">
        <v>579</v>
      </c>
      <c r="R50" s="149">
        <v>778</v>
      </c>
      <c r="S50" s="149">
        <v>616</v>
      </c>
      <c r="T50" s="149">
        <v>513</v>
      </c>
      <c r="U50" s="149">
        <v>420</v>
      </c>
    </row>
    <row r="51" spans="2:21">
      <c r="B51" s="102" t="s">
        <v>333</v>
      </c>
      <c r="C51" s="148" t="s">
        <v>279</v>
      </c>
      <c r="D51" s="148" t="s">
        <v>5</v>
      </c>
      <c r="E51" s="148" t="s">
        <v>195</v>
      </c>
      <c r="F51" s="148" t="s">
        <v>195</v>
      </c>
      <c r="G51" s="148" t="s">
        <v>195</v>
      </c>
      <c r="H51" s="148" t="s">
        <v>349</v>
      </c>
      <c r="I51" s="100">
        <f t="shared" si="0"/>
        <v>1046</v>
      </c>
      <c r="J51" s="149">
        <v>82</v>
      </c>
      <c r="K51" s="149">
        <v>84</v>
      </c>
      <c r="L51" s="149">
        <v>84</v>
      </c>
      <c r="M51" s="149">
        <v>84</v>
      </c>
      <c r="N51" s="149">
        <v>85</v>
      </c>
      <c r="O51" s="149">
        <v>86</v>
      </c>
      <c r="P51" s="149">
        <v>88</v>
      </c>
      <c r="Q51" s="149">
        <v>89</v>
      </c>
      <c r="R51" s="149">
        <v>89</v>
      </c>
      <c r="S51" s="149">
        <v>90</v>
      </c>
      <c r="T51" s="149">
        <v>91</v>
      </c>
      <c r="U51" s="149">
        <v>94</v>
      </c>
    </row>
    <row r="52" spans="2:21">
      <c r="B52" s="102" t="s">
        <v>333</v>
      </c>
      <c r="C52" s="148" t="s">
        <v>279</v>
      </c>
      <c r="D52" s="148" t="s">
        <v>5</v>
      </c>
      <c r="E52" s="148" t="s">
        <v>195</v>
      </c>
      <c r="F52" s="148" t="s">
        <v>195</v>
      </c>
      <c r="G52" s="148" t="s">
        <v>195</v>
      </c>
      <c r="H52" s="148" t="s">
        <v>350</v>
      </c>
      <c r="I52" s="100">
        <f t="shared" si="0"/>
        <v>3082</v>
      </c>
      <c r="J52" s="149">
        <v>240</v>
      </c>
      <c r="K52" s="149">
        <v>243</v>
      </c>
      <c r="L52" s="149">
        <v>247</v>
      </c>
      <c r="M52" s="149">
        <v>248</v>
      </c>
      <c r="N52" s="149">
        <v>255</v>
      </c>
      <c r="O52" s="149">
        <v>252</v>
      </c>
      <c r="P52" s="149">
        <v>254</v>
      </c>
      <c r="Q52" s="149">
        <v>258</v>
      </c>
      <c r="R52" s="149">
        <v>259</v>
      </c>
      <c r="S52" s="149">
        <v>262</v>
      </c>
      <c r="T52" s="149">
        <v>277</v>
      </c>
      <c r="U52" s="149">
        <v>287</v>
      </c>
    </row>
    <row r="53" spans="2:21">
      <c r="B53" s="102" t="s">
        <v>333</v>
      </c>
      <c r="C53" s="148" t="s">
        <v>279</v>
      </c>
      <c r="D53" s="148" t="s">
        <v>5</v>
      </c>
      <c r="E53" s="148" t="s">
        <v>195</v>
      </c>
      <c r="F53" s="148" t="s">
        <v>195</v>
      </c>
      <c r="G53" s="148" t="s">
        <v>203</v>
      </c>
      <c r="H53" s="148" t="s">
        <v>335</v>
      </c>
      <c r="I53" s="100">
        <f t="shared" si="0"/>
        <v>231.48648041034534</v>
      </c>
      <c r="J53" s="149">
        <v>14.533333333333333</v>
      </c>
      <c r="K53" s="149">
        <v>17.5</v>
      </c>
      <c r="L53" s="149">
        <v>20.266666666666666</v>
      </c>
      <c r="M53" s="149">
        <v>18</v>
      </c>
      <c r="N53" s="149">
        <v>19.766666666666666</v>
      </c>
      <c r="O53" s="149">
        <v>18.366666666666667</v>
      </c>
      <c r="P53" s="149">
        <v>17.766666666666666</v>
      </c>
      <c r="Q53" s="149">
        <v>18</v>
      </c>
      <c r="R53" s="149">
        <v>18.649826938571703</v>
      </c>
      <c r="S53" s="149">
        <v>21.755512467258566</v>
      </c>
      <c r="T53" s="149">
        <v>22.022426095820592</v>
      </c>
      <c r="U53" s="149">
        <v>24.858714908694466</v>
      </c>
    </row>
    <row r="54" spans="2:21">
      <c r="B54" s="102" t="s">
        <v>333</v>
      </c>
      <c r="C54" s="148" t="s">
        <v>279</v>
      </c>
      <c r="D54" s="148" t="s">
        <v>5</v>
      </c>
      <c r="E54" s="148" t="s">
        <v>195</v>
      </c>
      <c r="F54" s="148" t="s">
        <v>195</v>
      </c>
      <c r="G54" s="148" t="s">
        <v>284</v>
      </c>
      <c r="H54" s="148" t="s">
        <v>335</v>
      </c>
      <c r="I54" s="100">
        <f t="shared" si="0"/>
        <v>8003.4963466443714</v>
      </c>
      <c r="J54" s="149">
        <v>634.06666666666661</v>
      </c>
      <c r="K54" s="149">
        <v>649</v>
      </c>
      <c r="L54" s="149">
        <v>652.0333333333333</v>
      </c>
      <c r="M54" s="149">
        <v>655</v>
      </c>
      <c r="N54" s="149">
        <v>668.43333333333339</v>
      </c>
      <c r="O54" s="149">
        <v>673.0333333333333</v>
      </c>
      <c r="P54" s="149">
        <v>684.80000000000007</v>
      </c>
      <c r="Q54" s="149">
        <v>685.26666666666665</v>
      </c>
      <c r="R54" s="149">
        <v>679.06722273289517</v>
      </c>
      <c r="S54" s="149">
        <v>675.85568255264138</v>
      </c>
      <c r="T54" s="149">
        <v>676.68909276248723</v>
      </c>
      <c r="U54" s="149">
        <v>670.25101526301455</v>
      </c>
    </row>
    <row r="55" spans="2:21">
      <c r="B55" s="102" t="s">
        <v>333</v>
      </c>
      <c r="C55" s="148" t="s">
        <v>279</v>
      </c>
      <c r="D55" s="148" t="s">
        <v>5</v>
      </c>
      <c r="E55" s="148" t="s">
        <v>195</v>
      </c>
      <c r="F55" s="148" t="s">
        <v>195</v>
      </c>
      <c r="G55" s="148" t="s">
        <v>204</v>
      </c>
      <c r="H55" s="148" t="s">
        <v>335</v>
      </c>
      <c r="I55" s="100">
        <f t="shared" si="0"/>
        <v>3417.4838396119494</v>
      </c>
      <c r="J55" s="149">
        <v>285</v>
      </c>
      <c r="K55" s="149">
        <v>286.9666666666667</v>
      </c>
      <c r="L55" s="149">
        <v>287.3</v>
      </c>
      <c r="M55" s="149">
        <v>289</v>
      </c>
      <c r="N55" s="149">
        <v>286.83333333333331</v>
      </c>
      <c r="O55" s="149">
        <v>283</v>
      </c>
      <c r="P55" s="149">
        <v>284</v>
      </c>
      <c r="Q55" s="149">
        <v>282.26666666666665</v>
      </c>
      <c r="R55" s="149">
        <v>282.24961699519969</v>
      </c>
      <c r="S55" s="149">
        <v>283.2888049801</v>
      </c>
      <c r="T55" s="149">
        <v>283.28848114169216</v>
      </c>
      <c r="U55" s="149">
        <v>284.29026982829106</v>
      </c>
    </row>
    <row r="56" spans="2:21">
      <c r="B56" s="102" t="s">
        <v>333</v>
      </c>
      <c r="C56" s="148" t="s">
        <v>279</v>
      </c>
      <c r="D56" s="148" t="s">
        <v>5</v>
      </c>
      <c r="E56" s="148" t="s">
        <v>195</v>
      </c>
      <c r="F56" s="148" t="s">
        <v>195</v>
      </c>
      <c r="G56" s="148" t="s">
        <v>284</v>
      </c>
      <c r="H56" s="148" t="s">
        <v>281</v>
      </c>
      <c r="I56" s="100">
        <f t="shared" si="0"/>
        <v>1389404.3666666667</v>
      </c>
      <c r="J56" s="149">
        <v>111148.1</v>
      </c>
      <c r="K56" s="149">
        <v>113021</v>
      </c>
      <c r="L56" s="149">
        <v>113325.59999999999</v>
      </c>
      <c r="M56" s="149">
        <v>113204</v>
      </c>
      <c r="N56" s="149">
        <v>115213.86666666667</v>
      </c>
      <c r="O56" s="149">
        <v>116126.23333333334</v>
      </c>
      <c r="P56" s="149">
        <v>118688.53333333333</v>
      </c>
      <c r="Q56" s="149">
        <v>118976.36666666667</v>
      </c>
      <c r="R56" s="149">
        <v>118395.33333333333</v>
      </c>
      <c r="S56" s="149">
        <v>117391.86666666667</v>
      </c>
      <c r="T56" s="149">
        <v>117623</v>
      </c>
      <c r="U56" s="149">
        <v>116290.46666666667</v>
      </c>
    </row>
    <row r="57" spans="2:21">
      <c r="B57" s="102" t="s">
        <v>333</v>
      </c>
      <c r="C57" s="148" t="s">
        <v>279</v>
      </c>
      <c r="D57" s="148" t="s">
        <v>5</v>
      </c>
      <c r="E57" s="148" t="s">
        <v>195</v>
      </c>
      <c r="F57" s="148" t="s">
        <v>195</v>
      </c>
      <c r="G57" s="148" t="s">
        <v>204</v>
      </c>
      <c r="H57" s="148" t="s">
        <v>281</v>
      </c>
      <c r="I57" s="100">
        <f t="shared" si="0"/>
        <v>1689588.1328828828</v>
      </c>
      <c r="J57" s="149">
        <v>140773</v>
      </c>
      <c r="K57" s="149">
        <v>142962.76801801802</v>
      </c>
      <c r="L57" s="149">
        <v>142628.69594594595</v>
      </c>
      <c r="M57" s="149">
        <v>142082</v>
      </c>
      <c r="N57" s="149">
        <v>140808.67117117115</v>
      </c>
      <c r="O57" s="149">
        <v>139622</v>
      </c>
      <c r="P57" s="149">
        <v>140575</v>
      </c>
      <c r="Q57" s="149">
        <v>139784.99774774775</v>
      </c>
      <c r="R57" s="149">
        <v>139720</v>
      </c>
      <c r="S57" s="149">
        <v>140098</v>
      </c>
      <c r="T57" s="149">
        <v>140421</v>
      </c>
      <c r="U57" s="149">
        <v>140112</v>
      </c>
    </row>
    <row r="58" spans="2:21">
      <c r="B58" s="102" t="s">
        <v>333</v>
      </c>
      <c r="C58" s="148" t="s">
        <v>279</v>
      </c>
      <c r="D58" s="148" t="s">
        <v>5</v>
      </c>
      <c r="E58" s="148" t="s">
        <v>195</v>
      </c>
      <c r="F58" s="148" t="s">
        <v>195</v>
      </c>
      <c r="G58" s="148" t="s">
        <v>195</v>
      </c>
      <c r="H58" s="148" t="s">
        <v>202</v>
      </c>
      <c r="I58" s="100">
        <f t="shared" si="0"/>
        <v>2267892.5</v>
      </c>
      <c r="J58" s="149">
        <v>202284.93333333332</v>
      </c>
      <c r="K58" s="149">
        <v>204007.13333333333</v>
      </c>
      <c r="L58" s="149">
        <v>214382.19999999998</v>
      </c>
      <c r="M58" s="149">
        <v>211576</v>
      </c>
      <c r="N58" s="149">
        <v>194486.76666666663</v>
      </c>
      <c r="O58" s="149">
        <v>184432.00000000003</v>
      </c>
      <c r="P58" s="149">
        <v>179434.6</v>
      </c>
      <c r="Q58" s="149">
        <v>176424.36666666664</v>
      </c>
      <c r="R58" s="149">
        <v>178700.90000000002</v>
      </c>
      <c r="S58" s="149">
        <v>172117.93333333335</v>
      </c>
      <c r="T58" s="149">
        <v>172447</v>
      </c>
      <c r="U58" s="149">
        <v>177598.66666666669</v>
      </c>
    </row>
    <row r="59" spans="2:21">
      <c r="B59" s="102" t="s">
        <v>333</v>
      </c>
      <c r="C59" s="148" t="s">
        <v>279</v>
      </c>
      <c r="D59" s="148" t="s">
        <v>5</v>
      </c>
      <c r="E59" s="148" t="s">
        <v>195</v>
      </c>
      <c r="F59" s="148" t="s">
        <v>195</v>
      </c>
      <c r="G59" s="148" t="s">
        <v>195</v>
      </c>
      <c r="H59" s="148" t="s">
        <v>201</v>
      </c>
      <c r="I59" s="100">
        <f t="shared" si="0"/>
        <v>322568.75862068968</v>
      </c>
      <c r="J59" s="149">
        <v>31816.000000000004</v>
      </c>
      <c r="K59" s="149">
        <v>32561.53448275862</v>
      </c>
      <c r="L59" s="149">
        <v>32537.086206896547</v>
      </c>
      <c r="M59" s="149">
        <v>31938</v>
      </c>
      <c r="N59" s="149">
        <v>28002.844827586207</v>
      </c>
      <c r="O59" s="149">
        <v>24429.96551724138</v>
      </c>
      <c r="P59" s="149">
        <v>21899.931034482761</v>
      </c>
      <c r="Q59" s="149">
        <v>21699.396551724141</v>
      </c>
      <c r="R59" s="149">
        <v>23367</v>
      </c>
      <c r="S59" s="149">
        <v>23444</v>
      </c>
      <c r="T59" s="149">
        <v>24522</v>
      </c>
      <c r="U59" s="149">
        <v>26351</v>
      </c>
    </row>
    <row r="60" spans="2:21">
      <c r="B60" s="102" t="s">
        <v>333</v>
      </c>
      <c r="C60" s="148" t="s">
        <v>279</v>
      </c>
      <c r="D60" s="148" t="s">
        <v>5</v>
      </c>
      <c r="E60" s="148" t="s">
        <v>195</v>
      </c>
      <c r="F60" s="148" t="s">
        <v>195</v>
      </c>
      <c r="G60" s="148" t="s">
        <v>195</v>
      </c>
      <c r="H60" s="173" t="s">
        <v>367</v>
      </c>
      <c r="I60" s="100">
        <f t="shared" si="0"/>
        <v>907042</v>
      </c>
      <c r="J60" s="149">
        <v>77325</v>
      </c>
      <c r="K60" s="149">
        <v>83717</v>
      </c>
      <c r="L60" s="149">
        <v>83644</v>
      </c>
      <c r="M60" s="149">
        <v>81677</v>
      </c>
      <c r="N60" s="149">
        <v>81917</v>
      </c>
      <c r="O60" s="149">
        <v>74823</v>
      </c>
      <c r="P60" s="149">
        <v>73621</v>
      </c>
      <c r="Q60" s="149">
        <v>68752</v>
      </c>
      <c r="R60" s="149">
        <v>64453</v>
      </c>
      <c r="S60" s="149">
        <v>63031</v>
      </c>
      <c r="T60" s="149">
        <v>80579</v>
      </c>
      <c r="U60" s="149">
        <v>73503</v>
      </c>
    </row>
    <row r="61" spans="2:21">
      <c r="B61" s="102" t="s">
        <v>333</v>
      </c>
      <c r="C61" s="148" t="s">
        <v>279</v>
      </c>
      <c r="D61" s="148" t="s">
        <v>5</v>
      </c>
      <c r="E61" s="148" t="s">
        <v>195</v>
      </c>
      <c r="F61" s="148" t="s">
        <v>195</v>
      </c>
      <c r="G61" s="148" t="s">
        <v>195</v>
      </c>
      <c r="H61" s="173" t="s">
        <v>358</v>
      </c>
      <c r="I61" s="100">
        <f t="shared" si="0"/>
        <v>44474</v>
      </c>
      <c r="J61" s="149">
        <v>3467</v>
      </c>
      <c r="K61" s="149">
        <v>3449</v>
      </c>
      <c r="L61" s="149">
        <v>3583</v>
      </c>
      <c r="M61" s="149">
        <v>3762</v>
      </c>
      <c r="N61" s="149">
        <v>3769</v>
      </c>
      <c r="O61" s="149">
        <v>3773</v>
      </c>
      <c r="P61" s="149">
        <v>3797</v>
      </c>
      <c r="Q61" s="149">
        <v>3806</v>
      </c>
      <c r="R61" s="149">
        <v>3791</v>
      </c>
      <c r="S61" s="149">
        <v>3730</v>
      </c>
      <c r="T61" s="149">
        <v>3784</v>
      </c>
      <c r="U61" s="149">
        <v>3763</v>
      </c>
    </row>
    <row r="62" spans="2:21">
      <c r="B62" s="102" t="s">
        <v>333</v>
      </c>
      <c r="C62" s="148" t="s">
        <v>279</v>
      </c>
      <c r="D62" s="148" t="s">
        <v>5</v>
      </c>
      <c r="E62" s="148" t="s">
        <v>195</v>
      </c>
      <c r="F62" s="148" t="s">
        <v>195</v>
      </c>
      <c r="G62" s="148" t="s">
        <v>195</v>
      </c>
      <c r="H62" s="173" t="s">
        <v>368</v>
      </c>
      <c r="I62" s="100">
        <f t="shared" si="0"/>
        <v>108</v>
      </c>
      <c r="J62" s="149">
        <v>9</v>
      </c>
      <c r="K62" s="149">
        <v>9</v>
      </c>
      <c r="L62" s="149">
        <v>9</v>
      </c>
      <c r="M62" s="149">
        <v>9</v>
      </c>
      <c r="N62" s="149">
        <v>9</v>
      </c>
      <c r="O62" s="149">
        <v>9</v>
      </c>
      <c r="P62" s="149">
        <v>9</v>
      </c>
      <c r="Q62" s="149">
        <v>9</v>
      </c>
      <c r="R62" s="149">
        <v>9</v>
      </c>
      <c r="S62" s="149">
        <v>9</v>
      </c>
      <c r="T62" s="149">
        <v>9</v>
      </c>
      <c r="U62" s="149">
        <v>9</v>
      </c>
    </row>
    <row r="63" spans="2:21">
      <c r="B63" s="102" t="s">
        <v>333</v>
      </c>
      <c r="C63" s="148" t="s">
        <v>279</v>
      </c>
      <c r="D63" s="148" t="s">
        <v>7</v>
      </c>
      <c r="E63" s="148" t="s">
        <v>195</v>
      </c>
      <c r="F63" s="148" t="s">
        <v>195</v>
      </c>
      <c r="G63" s="148" t="s">
        <v>195</v>
      </c>
      <c r="H63" s="148" t="s">
        <v>349</v>
      </c>
      <c r="I63" s="100">
        <f t="shared" si="0"/>
        <v>109</v>
      </c>
      <c r="J63" s="149">
        <v>9</v>
      </c>
      <c r="K63" s="149">
        <v>11</v>
      </c>
      <c r="L63" s="149">
        <v>9</v>
      </c>
      <c r="M63" s="149">
        <v>9</v>
      </c>
      <c r="N63" s="149">
        <v>9</v>
      </c>
      <c r="O63" s="149">
        <v>9</v>
      </c>
      <c r="P63" s="149">
        <v>9</v>
      </c>
      <c r="Q63" s="149">
        <v>9</v>
      </c>
      <c r="R63" s="149">
        <v>8</v>
      </c>
      <c r="S63" s="149">
        <v>9</v>
      </c>
      <c r="T63" s="149">
        <v>9</v>
      </c>
      <c r="U63" s="149">
        <v>9</v>
      </c>
    </row>
    <row r="64" spans="2:21">
      <c r="B64" s="102" t="s">
        <v>333</v>
      </c>
      <c r="C64" s="148" t="s">
        <v>279</v>
      </c>
      <c r="D64" s="148" t="s">
        <v>7</v>
      </c>
      <c r="E64" s="148" t="s">
        <v>195</v>
      </c>
      <c r="F64" s="148" t="s">
        <v>195</v>
      </c>
      <c r="G64" s="148" t="s">
        <v>195</v>
      </c>
      <c r="H64" s="148" t="s">
        <v>350</v>
      </c>
      <c r="I64" s="100">
        <f t="shared" si="0"/>
        <v>426</v>
      </c>
      <c r="J64" s="149">
        <v>36</v>
      </c>
      <c r="K64" s="149">
        <v>38</v>
      </c>
      <c r="L64" s="149">
        <v>38</v>
      </c>
      <c r="M64" s="149">
        <v>37</v>
      </c>
      <c r="N64" s="149">
        <v>34</v>
      </c>
      <c r="O64" s="149">
        <v>34</v>
      </c>
      <c r="P64" s="149">
        <v>34</v>
      </c>
      <c r="Q64" s="149">
        <v>35</v>
      </c>
      <c r="R64" s="149">
        <v>35</v>
      </c>
      <c r="S64" s="149">
        <v>35</v>
      </c>
      <c r="T64" s="149">
        <v>35</v>
      </c>
      <c r="U64" s="149">
        <v>35</v>
      </c>
    </row>
    <row r="65" spans="2:21">
      <c r="B65" s="102" t="s">
        <v>333</v>
      </c>
      <c r="C65" s="148" t="s">
        <v>279</v>
      </c>
      <c r="D65" s="148" t="s">
        <v>7</v>
      </c>
      <c r="E65" s="148" t="s">
        <v>195</v>
      </c>
      <c r="F65" s="148" t="s">
        <v>195</v>
      </c>
      <c r="G65" s="148" t="s">
        <v>203</v>
      </c>
      <c r="H65" s="148" t="s">
        <v>335</v>
      </c>
      <c r="I65" s="100">
        <f t="shared" si="0"/>
        <v>46.766666666666666</v>
      </c>
      <c r="J65" s="149">
        <v>3</v>
      </c>
      <c r="K65" s="149">
        <v>3</v>
      </c>
      <c r="L65" s="149">
        <v>3</v>
      </c>
      <c r="M65" s="149">
        <v>3.3666666666666667</v>
      </c>
      <c r="N65" s="149">
        <v>4.7</v>
      </c>
      <c r="O65" s="149">
        <v>5</v>
      </c>
      <c r="P65" s="149">
        <v>5</v>
      </c>
      <c r="Q65" s="149">
        <v>4</v>
      </c>
      <c r="R65" s="149">
        <v>4</v>
      </c>
      <c r="S65" s="149">
        <v>4</v>
      </c>
      <c r="T65" s="149">
        <v>4</v>
      </c>
      <c r="U65" s="149">
        <v>3.7</v>
      </c>
    </row>
    <row r="66" spans="2:21">
      <c r="B66" s="102" t="s">
        <v>333</v>
      </c>
      <c r="C66" s="148" t="s">
        <v>279</v>
      </c>
      <c r="D66" s="148" t="s">
        <v>7</v>
      </c>
      <c r="E66" s="148" t="s">
        <v>195</v>
      </c>
      <c r="F66" s="148" t="s">
        <v>195</v>
      </c>
      <c r="G66" s="148" t="s">
        <v>284</v>
      </c>
      <c r="H66" s="148" t="s">
        <v>335</v>
      </c>
      <c r="I66" s="100">
        <f t="shared" si="0"/>
        <v>650.6</v>
      </c>
      <c r="J66" s="149">
        <v>54</v>
      </c>
      <c r="K66" s="149">
        <v>54</v>
      </c>
      <c r="L66" s="149">
        <v>54</v>
      </c>
      <c r="M66" s="149">
        <v>54.56666666666667</v>
      </c>
      <c r="N66" s="149">
        <v>52</v>
      </c>
      <c r="O66" s="149">
        <v>52</v>
      </c>
      <c r="P66" s="149">
        <v>52</v>
      </c>
      <c r="Q66" s="149">
        <v>55</v>
      </c>
      <c r="R66" s="149">
        <v>55.033333333333331</v>
      </c>
      <c r="S66" s="149">
        <v>55</v>
      </c>
      <c r="T66" s="149">
        <v>56</v>
      </c>
      <c r="U66" s="149">
        <v>57</v>
      </c>
    </row>
    <row r="67" spans="2:21">
      <c r="B67" s="102" t="s">
        <v>333</v>
      </c>
      <c r="C67" s="148" t="s">
        <v>279</v>
      </c>
      <c r="D67" s="148" t="s">
        <v>7</v>
      </c>
      <c r="E67" s="148" t="s">
        <v>195</v>
      </c>
      <c r="F67" s="148" t="s">
        <v>195</v>
      </c>
      <c r="G67" s="148" t="s">
        <v>204</v>
      </c>
      <c r="H67" s="148" t="s">
        <v>335</v>
      </c>
      <c r="I67" s="100">
        <f t="shared" si="0"/>
        <v>451</v>
      </c>
      <c r="J67" s="149">
        <v>39</v>
      </c>
      <c r="K67" s="149">
        <v>39</v>
      </c>
      <c r="L67" s="149">
        <v>39</v>
      </c>
      <c r="M67" s="149">
        <v>38</v>
      </c>
      <c r="N67" s="149">
        <v>38</v>
      </c>
      <c r="O67" s="149">
        <v>38</v>
      </c>
      <c r="P67" s="149">
        <v>38</v>
      </c>
      <c r="Q67" s="149">
        <v>37</v>
      </c>
      <c r="R67" s="149">
        <v>37</v>
      </c>
      <c r="S67" s="149">
        <v>36</v>
      </c>
      <c r="T67" s="149">
        <v>36</v>
      </c>
      <c r="U67" s="149">
        <v>36</v>
      </c>
    </row>
    <row r="68" spans="2:21">
      <c r="B68" s="102" t="s">
        <v>333</v>
      </c>
      <c r="C68" s="148" t="s">
        <v>279</v>
      </c>
      <c r="D68" s="148" t="s">
        <v>7</v>
      </c>
      <c r="E68" s="148" t="s">
        <v>195</v>
      </c>
      <c r="F68" s="148" t="s">
        <v>195</v>
      </c>
      <c r="G68" s="148" t="s">
        <v>284</v>
      </c>
      <c r="H68" s="148" t="s">
        <v>281</v>
      </c>
      <c r="I68" s="100">
        <f t="shared" si="0"/>
        <v>117720.66666666666</v>
      </c>
      <c r="J68" s="149">
        <v>9493</v>
      </c>
      <c r="K68" s="149">
        <v>9540.6</v>
      </c>
      <c r="L68" s="149">
        <v>9452</v>
      </c>
      <c r="M68" s="149">
        <v>9716.1</v>
      </c>
      <c r="N68" s="149">
        <v>9403</v>
      </c>
      <c r="O68" s="149">
        <v>9412</v>
      </c>
      <c r="P68" s="149">
        <v>9426</v>
      </c>
      <c r="Q68" s="149">
        <v>10070</v>
      </c>
      <c r="R68" s="149">
        <v>10099.966666666667</v>
      </c>
      <c r="S68" s="149">
        <v>10269</v>
      </c>
      <c r="T68" s="149">
        <v>10372</v>
      </c>
      <c r="U68" s="149">
        <v>10467</v>
      </c>
    </row>
    <row r="69" spans="2:21">
      <c r="B69" s="102" t="s">
        <v>333</v>
      </c>
      <c r="C69" s="148" t="s">
        <v>279</v>
      </c>
      <c r="D69" s="148" t="s">
        <v>7</v>
      </c>
      <c r="E69" s="148" t="s">
        <v>195</v>
      </c>
      <c r="F69" s="148" t="s">
        <v>195</v>
      </c>
      <c r="G69" s="148" t="s">
        <v>204</v>
      </c>
      <c r="H69" s="148" t="s">
        <v>281</v>
      </c>
      <c r="I69" s="100">
        <f t="shared" ref="I69:I132" si="1">SUM(J69:U69)</f>
        <v>250954</v>
      </c>
      <c r="J69" s="149">
        <v>21394</v>
      </c>
      <c r="K69" s="149">
        <v>21481</v>
      </c>
      <c r="L69" s="149">
        <v>21411</v>
      </c>
      <c r="M69" s="149">
        <v>21136</v>
      </c>
      <c r="N69" s="149">
        <v>21150</v>
      </c>
      <c r="O69" s="149">
        <v>21208</v>
      </c>
      <c r="P69" s="149">
        <v>21090</v>
      </c>
      <c r="Q69" s="149">
        <v>20795</v>
      </c>
      <c r="R69" s="149">
        <v>20594</v>
      </c>
      <c r="S69" s="149">
        <v>20232</v>
      </c>
      <c r="T69" s="149">
        <v>20221</v>
      </c>
      <c r="U69" s="149">
        <v>20242</v>
      </c>
    </row>
    <row r="70" spans="2:21">
      <c r="B70" s="102" t="s">
        <v>333</v>
      </c>
      <c r="C70" s="148" t="s">
        <v>279</v>
      </c>
      <c r="D70" s="148" t="s">
        <v>7</v>
      </c>
      <c r="E70" s="148" t="s">
        <v>195</v>
      </c>
      <c r="F70" s="148" t="s">
        <v>195</v>
      </c>
      <c r="G70" s="148" t="s">
        <v>195</v>
      </c>
      <c r="H70" s="148" t="s">
        <v>202</v>
      </c>
      <c r="I70" s="100">
        <f t="shared" si="1"/>
        <v>286376.76666666666</v>
      </c>
      <c r="J70" s="149">
        <v>23852</v>
      </c>
      <c r="K70" s="149">
        <v>25294.799999999999</v>
      </c>
      <c r="L70" s="149">
        <v>25839</v>
      </c>
      <c r="M70" s="149">
        <v>27431.666666666664</v>
      </c>
      <c r="N70" s="149">
        <v>24986</v>
      </c>
      <c r="O70" s="149">
        <v>23411</v>
      </c>
      <c r="P70" s="149">
        <v>21753</v>
      </c>
      <c r="Q70" s="149">
        <v>22231</v>
      </c>
      <c r="R70" s="149">
        <v>22691.3</v>
      </c>
      <c r="S70" s="149">
        <v>22666</v>
      </c>
      <c r="T70" s="149">
        <v>22930</v>
      </c>
      <c r="U70" s="149">
        <v>23291</v>
      </c>
    </row>
    <row r="71" spans="2:21">
      <c r="B71" s="102" t="s">
        <v>333</v>
      </c>
      <c r="C71" s="148" t="s">
        <v>279</v>
      </c>
      <c r="D71" s="148" t="s">
        <v>7</v>
      </c>
      <c r="E71" s="148" t="s">
        <v>195</v>
      </c>
      <c r="F71" s="148" t="s">
        <v>195</v>
      </c>
      <c r="G71" s="148" t="s">
        <v>195</v>
      </c>
      <c r="H71" s="148" t="s">
        <v>201</v>
      </c>
      <c r="I71" s="100">
        <f t="shared" si="1"/>
        <v>81408.741379310348</v>
      </c>
      <c r="J71" s="149">
        <v>7007</v>
      </c>
      <c r="K71" s="149">
        <v>7345.3965517241386</v>
      </c>
      <c r="L71" s="149">
        <v>7876</v>
      </c>
      <c r="M71" s="149">
        <v>8325.0517241379312</v>
      </c>
      <c r="N71" s="149">
        <v>6997.5</v>
      </c>
      <c r="O71" s="149">
        <v>6299</v>
      </c>
      <c r="P71" s="149">
        <v>5803</v>
      </c>
      <c r="Q71" s="149">
        <v>6041</v>
      </c>
      <c r="R71" s="149">
        <v>6357.3620689655172</v>
      </c>
      <c r="S71" s="149">
        <v>6319</v>
      </c>
      <c r="T71" s="149">
        <v>6316</v>
      </c>
      <c r="U71" s="149">
        <v>6722.4310344827591</v>
      </c>
    </row>
    <row r="72" spans="2:21">
      <c r="B72" s="102" t="s">
        <v>333</v>
      </c>
      <c r="C72" s="148" t="s">
        <v>279</v>
      </c>
      <c r="D72" s="148" t="s">
        <v>7</v>
      </c>
      <c r="E72" s="148" t="s">
        <v>195</v>
      </c>
      <c r="F72" s="148" t="s">
        <v>195</v>
      </c>
      <c r="G72" s="148" t="s">
        <v>195</v>
      </c>
      <c r="H72" s="173" t="s">
        <v>367</v>
      </c>
      <c r="I72" s="100">
        <f t="shared" si="1"/>
        <v>18439</v>
      </c>
      <c r="J72" s="149">
        <v>0</v>
      </c>
      <c r="K72" s="149">
        <v>0</v>
      </c>
      <c r="L72" s="149">
        <v>1114</v>
      </c>
      <c r="M72" s="149">
        <v>1527</v>
      </c>
      <c r="N72" s="149">
        <v>2012</v>
      </c>
      <c r="O72" s="149">
        <v>1734</v>
      </c>
      <c r="P72" s="149">
        <v>1841</v>
      </c>
      <c r="Q72" s="149">
        <v>2236</v>
      </c>
      <c r="R72" s="149">
        <v>2062</v>
      </c>
      <c r="S72" s="149">
        <v>2003.9999999999998</v>
      </c>
      <c r="T72" s="149">
        <v>1827</v>
      </c>
      <c r="U72" s="149">
        <v>2082</v>
      </c>
    </row>
    <row r="73" spans="2:21">
      <c r="B73" s="102" t="s">
        <v>333</v>
      </c>
      <c r="C73" s="148" t="s">
        <v>279</v>
      </c>
      <c r="D73" s="148" t="s">
        <v>7</v>
      </c>
      <c r="E73" s="148" t="s">
        <v>195</v>
      </c>
      <c r="F73" s="148" t="s">
        <v>195</v>
      </c>
      <c r="G73" s="148" t="s">
        <v>195</v>
      </c>
      <c r="H73" s="173" t="s">
        <v>358</v>
      </c>
      <c r="I73" s="100">
        <f t="shared" si="1"/>
        <v>855</v>
      </c>
      <c r="J73" s="149">
        <v>0</v>
      </c>
      <c r="K73" s="149">
        <v>0</v>
      </c>
      <c r="L73" s="149">
        <v>41.000000000000007</v>
      </c>
      <c r="M73" s="149">
        <v>36.000000000000007</v>
      </c>
      <c r="N73" s="149">
        <v>66</v>
      </c>
      <c r="O73" s="149">
        <v>69</v>
      </c>
      <c r="P73" s="149">
        <v>74</v>
      </c>
      <c r="Q73" s="149">
        <v>103</v>
      </c>
      <c r="R73" s="149">
        <v>115</v>
      </c>
      <c r="S73" s="149">
        <v>117.00000000000001</v>
      </c>
      <c r="T73" s="149">
        <v>117.00000000000001</v>
      </c>
      <c r="U73" s="149">
        <v>117.00000000000001</v>
      </c>
    </row>
    <row r="74" spans="2:21">
      <c r="B74" s="102" t="s">
        <v>333</v>
      </c>
      <c r="C74" s="148" t="s">
        <v>279</v>
      </c>
      <c r="D74" s="148" t="s">
        <v>7</v>
      </c>
      <c r="E74" s="148" t="s">
        <v>195</v>
      </c>
      <c r="F74" s="148" t="s">
        <v>195</v>
      </c>
      <c r="G74" s="148" t="s">
        <v>195</v>
      </c>
      <c r="H74" s="173" t="s">
        <v>368</v>
      </c>
      <c r="I74" s="100">
        <f t="shared" si="1"/>
        <v>10</v>
      </c>
      <c r="J74" s="149">
        <v>0</v>
      </c>
      <c r="K74" s="149">
        <v>0</v>
      </c>
      <c r="L74" s="149">
        <v>1</v>
      </c>
      <c r="M74" s="149">
        <v>1</v>
      </c>
      <c r="N74" s="149">
        <v>1</v>
      </c>
      <c r="O74" s="149">
        <v>1</v>
      </c>
      <c r="P74" s="149">
        <v>1</v>
      </c>
      <c r="Q74" s="149">
        <v>1</v>
      </c>
      <c r="R74" s="149">
        <v>1</v>
      </c>
      <c r="S74" s="149">
        <v>1</v>
      </c>
      <c r="T74" s="149">
        <v>1</v>
      </c>
      <c r="U74" s="149">
        <v>1</v>
      </c>
    </row>
    <row r="75" spans="2:21">
      <c r="B75" s="102" t="s">
        <v>333</v>
      </c>
      <c r="C75" s="148" t="s">
        <v>152</v>
      </c>
      <c r="D75" s="148" t="s">
        <v>179</v>
      </c>
      <c r="E75" s="148" t="s">
        <v>195</v>
      </c>
      <c r="F75" s="148" t="s">
        <v>195</v>
      </c>
      <c r="G75" s="148" t="s">
        <v>195</v>
      </c>
      <c r="H75" s="148" t="s">
        <v>349</v>
      </c>
      <c r="I75" s="100">
        <f t="shared" si="1"/>
        <v>7254</v>
      </c>
      <c r="J75" s="149">
        <v>579</v>
      </c>
      <c r="K75" s="149">
        <v>584</v>
      </c>
      <c r="L75" s="149">
        <v>591</v>
      </c>
      <c r="M75" s="149">
        <v>590</v>
      </c>
      <c r="N75" s="149">
        <v>596</v>
      </c>
      <c r="O75" s="149">
        <v>592</v>
      </c>
      <c r="P75" s="149">
        <v>600</v>
      </c>
      <c r="Q75" s="149">
        <v>604</v>
      </c>
      <c r="R75" s="149">
        <v>607</v>
      </c>
      <c r="S75" s="149">
        <v>630</v>
      </c>
      <c r="T75" s="149">
        <v>637</v>
      </c>
      <c r="U75" s="149">
        <v>644</v>
      </c>
    </row>
    <row r="76" spans="2:21">
      <c r="B76" s="102" t="s">
        <v>333</v>
      </c>
      <c r="C76" s="148" t="s">
        <v>152</v>
      </c>
      <c r="D76" s="148" t="s">
        <v>179</v>
      </c>
      <c r="E76" s="148" t="s">
        <v>195</v>
      </c>
      <c r="F76" s="148" t="s">
        <v>195</v>
      </c>
      <c r="G76" s="148" t="s">
        <v>195</v>
      </c>
      <c r="H76" s="148" t="s">
        <v>350</v>
      </c>
      <c r="I76" s="100">
        <f t="shared" si="1"/>
        <v>12769</v>
      </c>
      <c r="J76" s="149">
        <v>1013</v>
      </c>
      <c r="K76" s="149">
        <v>1022</v>
      </c>
      <c r="L76" s="149">
        <v>1040</v>
      </c>
      <c r="M76" s="149">
        <v>1039</v>
      </c>
      <c r="N76" s="149">
        <v>1033</v>
      </c>
      <c r="O76" s="149">
        <v>1031</v>
      </c>
      <c r="P76" s="149">
        <v>1034</v>
      </c>
      <c r="Q76" s="149">
        <v>1039</v>
      </c>
      <c r="R76" s="149">
        <v>1047</v>
      </c>
      <c r="S76" s="149">
        <v>1137</v>
      </c>
      <c r="T76" s="149">
        <v>1165</v>
      </c>
      <c r="U76" s="149">
        <v>1169</v>
      </c>
    </row>
    <row r="77" spans="2:21">
      <c r="B77" s="102" t="s">
        <v>333</v>
      </c>
      <c r="C77" s="148" t="s">
        <v>152</v>
      </c>
      <c r="D77" s="148" t="s">
        <v>179</v>
      </c>
      <c r="E77" s="148" t="s">
        <v>195</v>
      </c>
      <c r="F77" s="148" t="s">
        <v>199</v>
      </c>
      <c r="G77" s="148" t="s">
        <v>195</v>
      </c>
      <c r="H77" s="148" t="s">
        <v>285</v>
      </c>
      <c r="I77" s="100">
        <f t="shared" si="1"/>
        <v>508.93495414173873</v>
      </c>
      <c r="J77" s="149">
        <v>1.3864709558289894</v>
      </c>
      <c r="K77" s="149">
        <v>0.66584472427294938</v>
      </c>
      <c r="L77" s="149">
        <v>1.4932896174291583</v>
      </c>
      <c r="M77" s="149">
        <v>2.5097782091287493</v>
      </c>
      <c r="N77" s="149">
        <v>491.93688539125372</v>
      </c>
      <c r="O77" s="149">
        <v>7.1247625079164031E-2</v>
      </c>
      <c r="P77" s="149">
        <v>8.4969389909225257E-2</v>
      </c>
      <c r="Q77" s="149">
        <v>0.26852438252058264</v>
      </c>
      <c r="R77" s="149">
        <v>1.7918513827316869</v>
      </c>
      <c r="S77" s="149">
        <v>1.0657589191471397</v>
      </c>
      <c r="T77" s="149">
        <v>2.6328900147772853</v>
      </c>
      <c r="U77" s="149">
        <v>5.0274435296601228</v>
      </c>
    </row>
    <row r="78" spans="2:21">
      <c r="B78" s="102" t="s">
        <v>333</v>
      </c>
      <c r="C78" s="148" t="s">
        <v>152</v>
      </c>
      <c r="D78" s="148" t="s">
        <v>179</v>
      </c>
      <c r="E78" s="148" t="s">
        <v>195</v>
      </c>
      <c r="F78" s="148" t="s">
        <v>199</v>
      </c>
      <c r="G78" s="148" t="s">
        <v>195</v>
      </c>
      <c r="H78" s="148" t="s">
        <v>194</v>
      </c>
      <c r="I78" s="100">
        <f t="shared" si="1"/>
        <v>495.84657534246583</v>
      </c>
      <c r="J78" s="149">
        <v>0</v>
      </c>
      <c r="K78" s="149">
        <v>0</v>
      </c>
      <c r="L78" s="149">
        <v>0.91506849315068495</v>
      </c>
      <c r="M78" s="149">
        <v>4.1835616438356169</v>
      </c>
      <c r="N78" s="149">
        <v>489.66301369863027</v>
      </c>
      <c r="O78" s="149">
        <v>5.205479452054794E-2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1.0328767123287672</v>
      </c>
    </row>
    <row r="79" spans="2:21">
      <c r="B79" s="102" t="s">
        <v>333</v>
      </c>
      <c r="C79" s="148" t="s">
        <v>152</v>
      </c>
      <c r="D79" s="148" t="s">
        <v>179</v>
      </c>
      <c r="E79" s="148" t="s">
        <v>195</v>
      </c>
      <c r="F79" s="148" t="s">
        <v>200</v>
      </c>
      <c r="G79" s="148" t="s">
        <v>203</v>
      </c>
      <c r="H79" s="148" t="s">
        <v>285</v>
      </c>
      <c r="I79" s="100">
        <f t="shared" si="1"/>
        <v>983.23536988517992</v>
      </c>
      <c r="J79" s="149">
        <v>1.7561600097537533</v>
      </c>
      <c r="K79" s="149">
        <v>5.6711483871387109</v>
      </c>
      <c r="L79" s="149">
        <v>4.4794933359525144</v>
      </c>
      <c r="M79" s="149">
        <v>8.8492400015505801</v>
      </c>
      <c r="N79" s="149">
        <v>930.54804252697181</v>
      </c>
      <c r="O79" s="149">
        <v>0.32056153683766098</v>
      </c>
      <c r="P79" s="149">
        <v>3.0492400253324887</v>
      </c>
      <c r="Q79" s="149">
        <v>4.7560692421363733</v>
      </c>
      <c r="R79" s="149">
        <v>4.0958412497361198</v>
      </c>
      <c r="S79" s="149">
        <v>9.1642389698121178</v>
      </c>
      <c r="T79" s="149">
        <v>6.4986805995355708</v>
      </c>
      <c r="U79" s="149">
        <v>4.0466540004222082</v>
      </c>
    </row>
    <row r="80" spans="2:21">
      <c r="B80" s="102" t="s">
        <v>333</v>
      </c>
      <c r="C80" s="148" t="s">
        <v>152</v>
      </c>
      <c r="D80" s="148" t="s">
        <v>179</v>
      </c>
      <c r="E80" s="148" t="s">
        <v>195</v>
      </c>
      <c r="F80" s="148" t="s">
        <v>200</v>
      </c>
      <c r="G80" s="148" t="s">
        <v>203</v>
      </c>
      <c r="H80" s="148" t="s">
        <v>194</v>
      </c>
      <c r="I80" s="100">
        <f t="shared" si="1"/>
        <v>2698.3863013698633</v>
      </c>
      <c r="J80" s="149">
        <v>3.7013698630136989</v>
      </c>
      <c r="K80" s="149">
        <v>9.8000000000000007</v>
      </c>
      <c r="L80" s="149">
        <v>7.9123287671232898</v>
      </c>
      <c r="M80" s="149">
        <v>17.098630136986312</v>
      </c>
      <c r="N80" s="149">
        <v>2654.8520547945213</v>
      </c>
      <c r="O80" s="149">
        <v>4.1095890410958902E-2</v>
      </c>
      <c r="P80" s="149">
        <v>0</v>
      </c>
      <c r="Q80" s="149">
        <v>0</v>
      </c>
      <c r="R80" s="149">
        <v>0</v>
      </c>
      <c r="S80" s="149">
        <v>0.38356164383561642</v>
      </c>
      <c r="T80" s="149">
        <v>0.86301369863013699</v>
      </c>
      <c r="U80" s="149">
        <v>3.7342465753424658</v>
      </c>
    </row>
    <row r="81" spans="2:21">
      <c r="B81" s="102" t="s">
        <v>333</v>
      </c>
      <c r="C81" s="148" t="s">
        <v>152</v>
      </c>
      <c r="D81" s="148" t="s">
        <v>179</v>
      </c>
      <c r="E81" s="148" t="s">
        <v>195</v>
      </c>
      <c r="F81" s="148" t="s">
        <v>200</v>
      </c>
      <c r="G81" s="148" t="s">
        <v>284</v>
      </c>
      <c r="H81" s="64" t="s">
        <v>194</v>
      </c>
      <c r="I81" s="100">
        <f t="shared" si="1"/>
        <v>441.46027397260241</v>
      </c>
      <c r="J81" s="149">
        <v>0</v>
      </c>
      <c r="K81" s="149">
        <v>1.3671232876712329</v>
      </c>
      <c r="L81" s="149">
        <v>1.5013698630136987</v>
      </c>
      <c r="M81" s="149">
        <v>0.84657534246575339</v>
      </c>
      <c r="N81" s="149">
        <v>435.92328767123252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1.2684931506849315</v>
      </c>
      <c r="U81" s="149">
        <v>0.55342465753424652</v>
      </c>
    </row>
    <row r="82" spans="2:21">
      <c r="B82" s="102" t="s">
        <v>333</v>
      </c>
      <c r="C82" s="148" t="s">
        <v>152</v>
      </c>
      <c r="D82" s="148" t="s">
        <v>179</v>
      </c>
      <c r="E82" s="148" t="s">
        <v>195</v>
      </c>
      <c r="F82" s="148" t="s">
        <v>200</v>
      </c>
      <c r="G82" s="148" t="s">
        <v>204</v>
      </c>
      <c r="H82" s="148" t="s">
        <v>194</v>
      </c>
      <c r="I82" s="100">
        <f t="shared" si="1"/>
        <v>12.999999999999996</v>
      </c>
      <c r="J82" s="149">
        <v>0</v>
      </c>
      <c r="K82" s="149">
        <v>0</v>
      </c>
      <c r="L82" s="149">
        <v>0</v>
      </c>
      <c r="M82" s="149">
        <v>0</v>
      </c>
      <c r="N82" s="149">
        <v>12.999999999999996</v>
      </c>
      <c r="O82" s="149">
        <v>0</v>
      </c>
      <c r="P82" s="149">
        <v>0</v>
      </c>
      <c r="Q82" s="149">
        <v>0</v>
      </c>
      <c r="R82" s="149">
        <v>0</v>
      </c>
      <c r="S82" s="149">
        <v>0</v>
      </c>
      <c r="T82" s="149">
        <v>0</v>
      </c>
      <c r="U82" s="149">
        <v>0</v>
      </c>
    </row>
    <row r="83" spans="2:21">
      <c r="B83" s="102" t="s">
        <v>333</v>
      </c>
      <c r="C83" s="148" t="s">
        <v>152</v>
      </c>
      <c r="D83" s="148" t="s">
        <v>179</v>
      </c>
      <c r="E83" s="148" t="s">
        <v>195</v>
      </c>
      <c r="F83" s="148" t="s">
        <v>195</v>
      </c>
      <c r="G83" s="148" t="s">
        <v>203</v>
      </c>
      <c r="H83" s="148" t="s">
        <v>281</v>
      </c>
      <c r="I83" s="100">
        <f>SUM(J83:U83)</f>
        <v>55806.423731300492</v>
      </c>
      <c r="J83" s="149">
        <v>59.528700244977443</v>
      </c>
      <c r="K83" s="149">
        <v>257.17840081885868</v>
      </c>
      <c r="L83" s="149">
        <v>138.64919937015992</v>
      </c>
      <c r="M83" s="149">
        <v>386.12144623968788</v>
      </c>
      <c r="N83" s="149">
        <v>54887.910519142322</v>
      </c>
      <c r="O83" s="149">
        <v>0.58074730842305256</v>
      </c>
      <c r="P83" s="149">
        <v>0</v>
      </c>
      <c r="Q83" s="149">
        <v>0</v>
      </c>
      <c r="R83" s="149">
        <v>0</v>
      </c>
      <c r="S83" s="149">
        <v>2.6849271690943639</v>
      </c>
      <c r="T83" s="149">
        <v>19.131728942368589</v>
      </c>
      <c r="U83" s="149">
        <v>54.638062064597854</v>
      </c>
    </row>
    <row r="84" spans="2:21">
      <c r="B84" s="102" t="s">
        <v>333</v>
      </c>
      <c r="C84" s="148" t="s">
        <v>152</v>
      </c>
      <c r="D84" s="148" t="s">
        <v>179</v>
      </c>
      <c r="E84" s="148" t="s">
        <v>195</v>
      </c>
      <c r="F84" s="148" t="s">
        <v>200</v>
      </c>
      <c r="G84" s="148" t="s">
        <v>284</v>
      </c>
      <c r="H84" s="148" t="s">
        <v>281</v>
      </c>
      <c r="I84" s="100">
        <f t="shared" si="1"/>
        <v>42806.539309357671</v>
      </c>
      <c r="J84" s="149">
        <v>0</v>
      </c>
      <c r="K84" s="149">
        <v>97.879462704017811</v>
      </c>
      <c r="L84" s="149">
        <v>93.835492182836504</v>
      </c>
      <c r="M84" s="149">
        <v>70.265452507379777</v>
      </c>
      <c r="N84" s="149">
        <v>42381.975428858765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117.20284821768165</v>
      </c>
      <c r="U84" s="149">
        <v>45.380624886987867</v>
      </c>
    </row>
    <row r="85" spans="2:21">
      <c r="B85" s="102" t="s">
        <v>333</v>
      </c>
      <c r="C85" s="148" t="s">
        <v>152</v>
      </c>
      <c r="D85" s="148" t="s">
        <v>179</v>
      </c>
      <c r="E85" s="148" t="s">
        <v>195</v>
      </c>
      <c r="F85" s="148" t="s">
        <v>200</v>
      </c>
      <c r="G85" s="148" t="s">
        <v>204</v>
      </c>
      <c r="H85" s="148" t="s">
        <v>281</v>
      </c>
      <c r="I85" s="100">
        <f t="shared" si="1"/>
        <v>5726.0005996812115</v>
      </c>
      <c r="J85" s="149">
        <v>0</v>
      </c>
      <c r="K85" s="149">
        <v>0</v>
      </c>
      <c r="L85" s="149">
        <v>0</v>
      </c>
      <c r="M85" s="149">
        <v>0</v>
      </c>
      <c r="N85" s="149">
        <v>5726.0005996812115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</row>
    <row r="86" spans="2:21">
      <c r="B86" s="102" t="s">
        <v>333</v>
      </c>
      <c r="C86" s="148" t="s">
        <v>152</v>
      </c>
      <c r="D86" s="148" t="s">
        <v>179</v>
      </c>
      <c r="E86" s="148" t="s">
        <v>195</v>
      </c>
      <c r="F86" s="148" t="s">
        <v>195</v>
      </c>
      <c r="G86" s="148" t="s">
        <v>195</v>
      </c>
      <c r="H86" s="148" t="s">
        <v>201</v>
      </c>
      <c r="I86" s="100">
        <f t="shared" si="1"/>
        <v>70608.913793103449</v>
      </c>
      <c r="J86" s="149">
        <v>9866.5344827586214</v>
      </c>
      <c r="K86" s="149">
        <v>9558.310344827587</v>
      </c>
      <c r="L86" s="149">
        <v>9208.6379310344819</v>
      </c>
      <c r="M86" s="149">
        <v>8548.5862068965525</v>
      </c>
      <c r="N86" s="149">
        <v>4786.5344827586214</v>
      </c>
      <c r="O86" s="149">
        <v>758.41379310344837</v>
      </c>
      <c r="P86" s="149">
        <v>390</v>
      </c>
      <c r="Q86" s="149">
        <v>615.5</v>
      </c>
      <c r="R86" s="149">
        <v>2932</v>
      </c>
      <c r="S86" s="149">
        <v>7088.0344827586214</v>
      </c>
      <c r="T86" s="149">
        <v>7966.6551724137926</v>
      </c>
      <c r="U86" s="149">
        <v>8889.7068965517228</v>
      </c>
    </row>
    <row r="87" spans="2:21">
      <c r="B87" s="102" t="s">
        <v>333</v>
      </c>
      <c r="C87" s="148" t="s">
        <v>152</v>
      </c>
      <c r="D87" s="148" t="s">
        <v>179</v>
      </c>
      <c r="E87" s="148" t="s">
        <v>195</v>
      </c>
      <c r="F87" s="148" t="s">
        <v>195</v>
      </c>
      <c r="G87" s="148" t="s">
        <v>195</v>
      </c>
      <c r="H87" s="173" t="s">
        <v>367</v>
      </c>
      <c r="I87" s="100">
        <f t="shared" si="1"/>
        <v>22840</v>
      </c>
      <c r="J87" s="149">
        <v>3882</v>
      </c>
      <c r="K87" s="149">
        <v>4583</v>
      </c>
      <c r="L87" s="149">
        <v>4176</v>
      </c>
      <c r="M87" s="149">
        <v>1494</v>
      </c>
      <c r="N87" s="149">
        <v>4403</v>
      </c>
      <c r="O87" s="149">
        <v>74</v>
      </c>
      <c r="P87" s="149">
        <v>74</v>
      </c>
      <c r="Q87" s="149">
        <v>64</v>
      </c>
      <c r="R87" s="149">
        <v>415</v>
      </c>
      <c r="S87" s="149">
        <v>1094</v>
      </c>
      <c r="T87" s="149">
        <v>1627</v>
      </c>
      <c r="U87" s="149">
        <v>954</v>
      </c>
    </row>
    <row r="88" spans="2:21">
      <c r="B88" s="102" t="s">
        <v>333</v>
      </c>
      <c r="C88" s="148" t="s">
        <v>152</v>
      </c>
      <c r="D88" s="148" t="s">
        <v>179</v>
      </c>
      <c r="E88" s="148" t="s">
        <v>195</v>
      </c>
      <c r="F88" s="148" t="s">
        <v>195</v>
      </c>
      <c r="G88" s="148" t="s">
        <v>195</v>
      </c>
      <c r="H88" s="173" t="s">
        <v>358</v>
      </c>
      <c r="I88" s="100">
        <f t="shared" si="1"/>
        <v>853.73333333333335</v>
      </c>
      <c r="J88" s="149">
        <v>82</v>
      </c>
      <c r="K88" s="149">
        <v>82</v>
      </c>
      <c r="L88" s="149">
        <v>82</v>
      </c>
      <c r="M88" s="149">
        <v>82</v>
      </c>
      <c r="N88" s="149">
        <v>82</v>
      </c>
      <c r="O88" s="149">
        <v>79.733333333333334</v>
      </c>
      <c r="P88" s="149">
        <v>48</v>
      </c>
      <c r="Q88" s="149">
        <v>48</v>
      </c>
      <c r="R88" s="149">
        <v>48</v>
      </c>
      <c r="S88" s="149">
        <v>48</v>
      </c>
      <c r="T88" s="149">
        <v>86</v>
      </c>
      <c r="U88" s="149">
        <v>86</v>
      </c>
    </row>
    <row r="89" spans="2:21">
      <c r="B89" s="102" t="s">
        <v>333</v>
      </c>
      <c r="C89" s="148" t="s">
        <v>152</v>
      </c>
      <c r="D89" s="148" t="s">
        <v>179</v>
      </c>
      <c r="E89" s="148" t="s">
        <v>195</v>
      </c>
      <c r="F89" s="148" t="s">
        <v>195</v>
      </c>
      <c r="G89" s="148" t="s">
        <v>195</v>
      </c>
      <c r="H89" s="173" t="s">
        <v>368</v>
      </c>
      <c r="I89" s="100">
        <f t="shared" si="1"/>
        <v>12.166666666666668</v>
      </c>
      <c r="J89" s="149">
        <v>1</v>
      </c>
      <c r="K89" s="149">
        <v>1</v>
      </c>
      <c r="L89" s="149">
        <v>1</v>
      </c>
      <c r="M89" s="149">
        <v>1</v>
      </c>
      <c r="N89" s="149">
        <v>1</v>
      </c>
      <c r="O89" s="149">
        <v>0.93333333333333335</v>
      </c>
      <c r="P89" s="149">
        <v>1.2333333333333334</v>
      </c>
      <c r="Q89" s="149">
        <v>1</v>
      </c>
      <c r="R89" s="149">
        <v>1</v>
      </c>
      <c r="S89" s="149">
        <v>1</v>
      </c>
      <c r="T89" s="149">
        <v>1</v>
      </c>
      <c r="U89" s="149">
        <v>1</v>
      </c>
    </row>
    <row r="90" spans="2:21">
      <c r="B90" s="102" t="s">
        <v>333</v>
      </c>
      <c r="C90" s="148" t="s">
        <v>252</v>
      </c>
      <c r="D90" s="148" t="s">
        <v>7</v>
      </c>
      <c r="E90" s="148" t="s">
        <v>176</v>
      </c>
      <c r="F90" s="148" t="s">
        <v>195</v>
      </c>
      <c r="G90" s="148" t="s">
        <v>195</v>
      </c>
      <c r="H90" s="148" t="s">
        <v>350</v>
      </c>
      <c r="I90" s="100">
        <f t="shared" si="1"/>
        <v>12</v>
      </c>
      <c r="J90" s="149">
        <v>1</v>
      </c>
      <c r="K90" s="149">
        <v>1</v>
      </c>
      <c r="L90" s="149">
        <v>1</v>
      </c>
      <c r="M90" s="149">
        <v>1</v>
      </c>
      <c r="N90" s="149">
        <v>1</v>
      </c>
      <c r="O90" s="149">
        <v>1</v>
      </c>
      <c r="P90" s="149">
        <v>1</v>
      </c>
      <c r="Q90" s="149">
        <v>1</v>
      </c>
      <c r="R90" s="149">
        <v>1</v>
      </c>
      <c r="S90" s="149">
        <v>1</v>
      </c>
      <c r="T90" s="149">
        <v>1</v>
      </c>
      <c r="U90" s="149">
        <v>1</v>
      </c>
    </row>
    <row r="91" spans="2:21">
      <c r="B91" s="102" t="s">
        <v>333</v>
      </c>
      <c r="C91" s="148" t="s">
        <v>252</v>
      </c>
      <c r="D91" s="148" t="s">
        <v>7</v>
      </c>
      <c r="E91" s="148" t="s">
        <v>176</v>
      </c>
      <c r="F91" s="148" t="s">
        <v>195</v>
      </c>
      <c r="G91" s="148" t="s">
        <v>203</v>
      </c>
      <c r="H91" s="148" t="s">
        <v>335</v>
      </c>
      <c r="I91" s="100">
        <f t="shared" si="1"/>
        <v>12</v>
      </c>
      <c r="J91" s="149">
        <v>1</v>
      </c>
      <c r="K91" s="149">
        <v>1</v>
      </c>
      <c r="L91" s="149">
        <v>1</v>
      </c>
      <c r="M91" s="149">
        <v>1</v>
      </c>
      <c r="N91" s="149">
        <v>1</v>
      </c>
      <c r="O91" s="149">
        <v>1</v>
      </c>
      <c r="P91" s="149">
        <v>1</v>
      </c>
      <c r="Q91" s="149">
        <v>1</v>
      </c>
      <c r="R91" s="149">
        <v>1</v>
      </c>
      <c r="S91" s="149">
        <v>1</v>
      </c>
      <c r="T91" s="149">
        <v>1</v>
      </c>
      <c r="U91" s="149">
        <v>1</v>
      </c>
    </row>
    <row r="92" spans="2:21">
      <c r="B92" s="102" t="s">
        <v>333</v>
      </c>
      <c r="C92" s="148" t="s">
        <v>252</v>
      </c>
      <c r="D92" s="148" t="s">
        <v>7</v>
      </c>
      <c r="E92" s="148" t="s">
        <v>176</v>
      </c>
      <c r="F92" s="148" t="s">
        <v>195</v>
      </c>
      <c r="G92" s="148" t="s">
        <v>203</v>
      </c>
      <c r="H92" s="64" t="s">
        <v>281</v>
      </c>
      <c r="I92" s="100">
        <f t="shared" si="1"/>
        <v>24249</v>
      </c>
      <c r="J92" s="149">
        <v>2213</v>
      </c>
      <c r="K92" s="149">
        <v>2213</v>
      </c>
      <c r="L92" s="149">
        <v>2191</v>
      </c>
      <c r="M92" s="149">
        <v>2191</v>
      </c>
      <c r="N92" s="149">
        <v>2191</v>
      </c>
      <c r="O92" s="149">
        <v>1900</v>
      </c>
      <c r="P92" s="149">
        <v>1900</v>
      </c>
      <c r="Q92" s="149">
        <v>1900</v>
      </c>
      <c r="R92" s="149">
        <v>1900</v>
      </c>
      <c r="S92" s="149">
        <v>1900</v>
      </c>
      <c r="T92" s="149">
        <v>1900</v>
      </c>
      <c r="U92" s="149">
        <v>1850</v>
      </c>
    </row>
    <row r="93" spans="2:21">
      <c r="B93" s="102" t="s">
        <v>333</v>
      </c>
      <c r="C93" s="148" t="s">
        <v>252</v>
      </c>
      <c r="D93" s="148" t="s">
        <v>7</v>
      </c>
      <c r="E93" s="148" t="s">
        <v>176</v>
      </c>
      <c r="F93" s="148" t="s">
        <v>195</v>
      </c>
      <c r="G93" s="148" t="s">
        <v>195</v>
      </c>
      <c r="H93" s="148" t="s">
        <v>202</v>
      </c>
      <c r="I93" s="100">
        <f t="shared" si="1"/>
        <v>17900</v>
      </c>
      <c r="J93" s="149">
        <v>1900</v>
      </c>
      <c r="K93" s="149">
        <v>1700</v>
      </c>
      <c r="L93" s="149">
        <v>1700</v>
      </c>
      <c r="M93" s="149">
        <v>1300</v>
      </c>
      <c r="N93" s="149">
        <v>1400</v>
      </c>
      <c r="O93" s="149">
        <v>1400</v>
      </c>
      <c r="P93" s="149">
        <v>1800</v>
      </c>
      <c r="Q93" s="149">
        <v>1400</v>
      </c>
      <c r="R93" s="149">
        <v>1200</v>
      </c>
      <c r="S93" s="149">
        <v>1400</v>
      </c>
      <c r="T93" s="149">
        <v>1200</v>
      </c>
      <c r="U93" s="149">
        <v>1500</v>
      </c>
    </row>
    <row r="94" spans="2:21">
      <c r="B94" s="102" t="s">
        <v>333</v>
      </c>
      <c r="C94" s="148" t="s">
        <v>252</v>
      </c>
      <c r="D94" s="148" t="s">
        <v>7</v>
      </c>
      <c r="E94" s="148" t="s">
        <v>176</v>
      </c>
      <c r="F94" s="148" t="s">
        <v>195</v>
      </c>
      <c r="G94" s="148" t="s">
        <v>195</v>
      </c>
      <c r="H94" s="148" t="s">
        <v>286</v>
      </c>
      <c r="I94" s="100">
        <f t="shared" si="1"/>
        <v>6100</v>
      </c>
      <c r="J94" s="149">
        <v>100</v>
      </c>
      <c r="K94" s="149">
        <v>300</v>
      </c>
      <c r="L94" s="149">
        <v>300</v>
      </c>
      <c r="M94" s="149">
        <v>700</v>
      </c>
      <c r="N94" s="149">
        <v>600</v>
      </c>
      <c r="O94" s="149">
        <v>600</v>
      </c>
      <c r="P94" s="149">
        <v>200</v>
      </c>
      <c r="Q94" s="149">
        <v>600</v>
      </c>
      <c r="R94" s="149">
        <v>800</v>
      </c>
      <c r="S94" s="149">
        <v>600</v>
      </c>
      <c r="T94" s="149">
        <v>800</v>
      </c>
      <c r="U94" s="149">
        <v>500</v>
      </c>
    </row>
    <row r="95" spans="2:21">
      <c r="B95" s="102" t="s">
        <v>333</v>
      </c>
      <c r="C95" s="148" t="s">
        <v>172</v>
      </c>
      <c r="D95" s="148" t="s">
        <v>5</v>
      </c>
      <c r="E95" s="148" t="s">
        <v>195</v>
      </c>
      <c r="F95" s="148" t="s">
        <v>195</v>
      </c>
      <c r="G95" s="148" t="s">
        <v>195</v>
      </c>
      <c r="H95" s="148" t="s">
        <v>349</v>
      </c>
      <c r="I95" s="100">
        <f t="shared" si="1"/>
        <v>35</v>
      </c>
      <c r="J95" s="149">
        <v>3</v>
      </c>
      <c r="K95" s="149">
        <v>3</v>
      </c>
      <c r="L95" s="149">
        <v>3</v>
      </c>
      <c r="M95" s="149">
        <v>3</v>
      </c>
      <c r="N95" s="149">
        <v>3</v>
      </c>
      <c r="O95" s="149">
        <v>3</v>
      </c>
      <c r="P95" s="149">
        <v>2</v>
      </c>
      <c r="Q95" s="149">
        <v>3</v>
      </c>
      <c r="R95" s="149">
        <v>3</v>
      </c>
      <c r="S95" s="149">
        <v>3</v>
      </c>
      <c r="T95" s="149">
        <v>3</v>
      </c>
      <c r="U95" s="149">
        <v>3</v>
      </c>
    </row>
    <row r="96" spans="2:21">
      <c r="B96" s="102" t="s">
        <v>333</v>
      </c>
      <c r="C96" s="148" t="s">
        <v>172</v>
      </c>
      <c r="D96" s="148" t="s">
        <v>5</v>
      </c>
      <c r="E96" s="148" t="s">
        <v>195</v>
      </c>
      <c r="F96" s="148" t="s">
        <v>195</v>
      </c>
      <c r="G96" s="148" t="s">
        <v>195</v>
      </c>
      <c r="H96" s="148" t="s">
        <v>350</v>
      </c>
      <c r="I96" s="100">
        <f t="shared" si="1"/>
        <v>123</v>
      </c>
      <c r="J96" s="149">
        <v>12</v>
      </c>
      <c r="K96" s="149">
        <v>10</v>
      </c>
      <c r="L96" s="149">
        <v>10</v>
      </c>
      <c r="M96" s="149">
        <v>10</v>
      </c>
      <c r="N96" s="149">
        <v>10</v>
      </c>
      <c r="O96" s="149">
        <v>10</v>
      </c>
      <c r="P96" s="149">
        <v>10</v>
      </c>
      <c r="Q96" s="149">
        <v>10</v>
      </c>
      <c r="R96" s="149">
        <v>10</v>
      </c>
      <c r="S96" s="149">
        <v>10</v>
      </c>
      <c r="T96" s="149">
        <v>10</v>
      </c>
      <c r="U96" s="149">
        <v>11</v>
      </c>
    </row>
    <row r="97" spans="2:21">
      <c r="B97" s="102" t="s">
        <v>333</v>
      </c>
      <c r="C97" s="148" t="s">
        <v>172</v>
      </c>
      <c r="D97" s="148" t="s">
        <v>5</v>
      </c>
      <c r="E97" s="148" t="s">
        <v>176</v>
      </c>
      <c r="F97" s="148" t="s">
        <v>195</v>
      </c>
      <c r="G97" s="148" t="s">
        <v>203</v>
      </c>
      <c r="H97" s="148" t="s">
        <v>335</v>
      </c>
      <c r="I97" s="100">
        <f t="shared" si="1"/>
        <v>353.66666666666663</v>
      </c>
      <c r="J97" s="149">
        <v>30</v>
      </c>
      <c r="K97" s="149">
        <v>29</v>
      </c>
      <c r="L97" s="149">
        <v>29</v>
      </c>
      <c r="M97" s="149">
        <v>29</v>
      </c>
      <c r="N97" s="149">
        <v>29</v>
      </c>
      <c r="O97" s="149">
        <v>29</v>
      </c>
      <c r="P97" s="149">
        <v>29</v>
      </c>
      <c r="Q97" s="149">
        <v>29.666666666666668</v>
      </c>
      <c r="R97" s="149">
        <v>30</v>
      </c>
      <c r="S97" s="149">
        <v>30</v>
      </c>
      <c r="T97" s="149">
        <v>30</v>
      </c>
      <c r="U97" s="149">
        <v>30</v>
      </c>
    </row>
    <row r="98" spans="2:21">
      <c r="B98" s="102" t="s">
        <v>333</v>
      </c>
      <c r="C98" s="148" t="s">
        <v>172</v>
      </c>
      <c r="D98" s="148" t="s">
        <v>5</v>
      </c>
      <c r="E98" s="148" t="s">
        <v>176</v>
      </c>
      <c r="F98" s="148" t="s">
        <v>195</v>
      </c>
      <c r="G98" s="148" t="s">
        <v>203</v>
      </c>
      <c r="H98" s="148" t="s">
        <v>281</v>
      </c>
      <c r="I98" s="100">
        <f t="shared" si="1"/>
        <v>413974.99726775958</v>
      </c>
      <c r="J98" s="149">
        <v>36069</v>
      </c>
      <c r="K98" s="149">
        <v>35044</v>
      </c>
      <c r="L98" s="149">
        <v>34639</v>
      </c>
      <c r="M98" s="149">
        <v>33991</v>
      </c>
      <c r="N98" s="149">
        <v>33863</v>
      </c>
      <c r="O98" s="149">
        <v>33825</v>
      </c>
      <c r="P98" s="149">
        <v>33791</v>
      </c>
      <c r="Q98" s="149">
        <v>34486.997267759565</v>
      </c>
      <c r="R98" s="149">
        <v>34854</v>
      </c>
      <c r="S98" s="149">
        <v>34837</v>
      </c>
      <c r="T98" s="149">
        <v>34690</v>
      </c>
      <c r="U98" s="149">
        <v>33885</v>
      </c>
    </row>
    <row r="99" spans="2:21">
      <c r="B99" s="102" t="s">
        <v>333</v>
      </c>
      <c r="C99" s="148" t="s">
        <v>172</v>
      </c>
      <c r="D99" s="148" t="s">
        <v>5</v>
      </c>
      <c r="E99" s="148" t="s">
        <v>176</v>
      </c>
      <c r="F99" s="148" t="s">
        <v>195</v>
      </c>
      <c r="G99" s="148" t="s">
        <v>195</v>
      </c>
      <c r="H99" s="148" t="s">
        <v>202</v>
      </c>
      <c r="I99" s="100">
        <f t="shared" si="1"/>
        <v>291879.33333333337</v>
      </c>
      <c r="J99" s="149">
        <v>31951</v>
      </c>
      <c r="K99" s="149">
        <v>28425</v>
      </c>
      <c r="L99" s="149">
        <v>27291</v>
      </c>
      <c r="M99" s="149">
        <v>27817</v>
      </c>
      <c r="N99" s="149">
        <v>24969</v>
      </c>
      <c r="O99" s="149">
        <v>21719</v>
      </c>
      <c r="P99" s="149">
        <v>20414</v>
      </c>
      <c r="Q99" s="149">
        <v>21083.333333333332</v>
      </c>
      <c r="R99" s="149">
        <v>21081</v>
      </c>
      <c r="S99" s="149">
        <v>20693</v>
      </c>
      <c r="T99" s="149">
        <v>21366</v>
      </c>
      <c r="U99" s="149">
        <v>25070</v>
      </c>
    </row>
    <row r="100" spans="2:21">
      <c r="B100" s="102" t="s">
        <v>333</v>
      </c>
      <c r="C100" s="148" t="s">
        <v>172</v>
      </c>
      <c r="D100" s="148" t="s">
        <v>5</v>
      </c>
      <c r="E100" s="148" t="s">
        <v>176</v>
      </c>
      <c r="F100" s="148" t="s">
        <v>195</v>
      </c>
      <c r="G100" s="148" t="s">
        <v>195</v>
      </c>
      <c r="H100" s="148" t="s">
        <v>201</v>
      </c>
      <c r="I100" s="100">
        <f t="shared" si="1"/>
        <v>31472.333333333332</v>
      </c>
      <c r="J100" s="149">
        <v>3008</v>
      </c>
      <c r="K100" s="149">
        <v>2893</v>
      </c>
      <c r="L100" s="149">
        <v>2825</v>
      </c>
      <c r="M100" s="149">
        <v>2784</v>
      </c>
      <c r="N100" s="149">
        <v>2715</v>
      </c>
      <c r="O100" s="149">
        <v>2384</v>
      </c>
      <c r="P100" s="149">
        <v>2607</v>
      </c>
      <c r="Q100" s="149">
        <v>2230.3333333333335</v>
      </c>
      <c r="R100" s="149">
        <v>2547.0000000000005</v>
      </c>
      <c r="S100" s="149">
        <v>2269</v>
      </c>
      <c r="T100" s="149">
        <v>2516.0000000000005</v>
      </c>
      <c r="U100" s="149">
        <v>2694</v>
      </c>
    </row>
    <row r="101" spans="2:21">
      <c r="B101" s="102" t="s">
        <v>333</v>
      </c>
      <c r="C101" s="148" t="s">
        <v>172</v>
      </c>
      <c r="D101" s="148" t="s">
        <v>5</v>
      </c>
      <c r="E101" s="148" t="s">
        <v>177</v>
      </c>
      <c r="F101" s="148" t="s">
        <v>195</v>
      </c>
      <c r="G101" s="148" t="s">
        <v>203</v>
      </c>
      <c r="H101" s="148" t="s">
        <v>335</v>
      </c>
      <c r="I101" s="100">
        <f t="shared" si="1"/>
        <v>83.666666666666671</v>
      </c>
      <c r="J101" s="149">
        <v>6.666666666666667</v>
      </c>
      <c r="K101" s="149">
        <v>7</v>
      </c>
      <c r="L101" s="149">
        <v>7</v>
      </c>
      <c r="M101" s="149">
        <v>7</v>
      </c>
      <c r="N101" s="149">
        <v>7</v>
      </c>
      <c r="O101" s="149">
        <v>7</v>
      </c>
      <c r="P101" s="149">
        <v>7</v>
      </c>
      <c r="Q101" s="149">
        <v>7</v>
      </c>
      <c r="R101" s="149">
        <v>7</v>
      </c>
      <c r="S101" s="149">
        <v>7</v>
      </c>
      <c r="T101" s="149">
        <v>7</v>
      </c>
      <c r="U101" s="149">
        <v>7</v>
      </c>
    </row>
    <row r="102" spans="2:21">
      <c r="B102" s="102" t="s">
        <v>333</v>
      </c>
      <c r="C102" s="148" t="s">
        <v>172</v>
      </c>
      <c r="D102" s="148" t="s">
        <v>5</v>
      </c>
      <c r="E102" s="148" t="s">
        <v>177</v>
      </c>
      <c r="F102" s="148" t="s">
        <v>195</v>
      </c>
      <c r="G102" s="148" t="s">
        <v>204</v>
      </c>
      <c r="H102" s="148" t="s">
        <v>335</v>
      </c>
      <c r="I102" s="100">
        <f t="shared" si="1"/>
        <v>12</v>
      </c>
      <c r="J102" s="149">
        <v>1</v>
      </c>
      <c r="K102" s="149">
        <v>1</v>
      </c>
      <c r="L102" s="149">
        <v>1</v>
      </c>
      <c r="M102" s="149">
        <v>1</v>
      </c>
      <c r="N102" s="149">
        <v>1</v>
      </c>
      <c r="O102" s="149">
        <v>1</v>
      </c>
      <c r="P102" s="149">
        <v>1</v>
      </c>
      <c r="Q102" s="149">
        <v>1</v>
      </c>
      <c r="R102" s="149">
        <v>1</v>
      </c>
      <c r="S102" s="149">
        <v>1</v>
      </c>
      <c r="T102" s="149">
        <v>1</v>
      </c>
      <c r="U102" s="149">
        <v>1</v>
      </c>
    </row>
    <row r="103" spans="2:21">
      <c r="B103" s="102" t="s">
        <v>333</v>
      </c>
      <c r="C103" s="148" t="s">
        <v>172</v>
      </c>
      <c r="D103" s="148" t="s">
        <v>5</v>
      </c>
      <c r="E103" s="148" t="s">
        <v>177</v>
      </c>
      <c r="F103" s="148" t="s">
        <v>195</v>
      </c>
      <c r="G103" s="148" t="s">
        <v>203</v>
      </c>
      <c r="H103" s="148" t="s">
        <v>281</v>
      </c>
      <c r="I103" s="100">
        <f t="shared" si="1"/>
        <v>91474.688524590165</v>
      </c>
      <c r="J103" s="149">
        <v>7588.688524590164</v>
      </c>
      <c r="K103" s="149">
        <v>7416</v>
      </c>
      <c r="L103" s="149">
        <v>7489</v>
      </c>
      <c r="M103" s="149">
        <v>7833</v>
      </c>
      <c r="N103" s="149">
        <v>7682</v>
      </c>
      <c r="O103" s="149">
        <v>7645</v>
      </c>
      <c r="P103" s="149">
        <v>7645</v>
      </c>
      <c r="Q103" s="149">
        <v>7644</v>
      </c>
      <c r="R103" s="149">
        <v>7652</v>
      </c>
      <c r="S103" s="149">
        <v>7652</v>
      </c>
      <c r="T103" s="149">
        <v>7652</v>
      </c>
      <c r="U103" s="149">
        <v>7576</v>
      </c>
    </row>
    <row r="104" spans="2:21">
      <c r="B104" s="102" t="s">
        <v>333</v>
      </c>
      <c r="C104" s="148" t="s">
        <v>172</v>
      </c>
      <c r="D104" s="148" t="s">
        <v>5</v>
      </c>
      <c r="E104" s="148" t="s">
        <v>177</v>
      </c>
      <c r="F104" s="148" t="s">
        <v>195</v>
      </c>
      <c r="G104" s="148" t="s">
        <v>204</v>
      </c>
      <c r="H104" s="148" t="s">
        <v>281</v>
      </c>
      <c r="I104" s="100">
        <f t="shared" si="1"/>
        <v>54406</v>
      </c>
      <c r="J104" s="149">
        <v>4680</v>
      </c>
      <c r="K104" s="149">
        <v>4606</v>
      </c>
      <c r="L104" s="149">
        <v>4512</v>
      </c>
      <c r="M104" s="149">
        <v>4512</v>
      </c>
      <c r="N104" s="149">
        <v>4512</v>
      </c>
      <c r="O104" s="149">
        <v>4512</v>
      </c>
      <c r="P104" s="149">
        <v>4512</v>
      </c>
      <c r="Q104" s="149">
        <v>4512</v>
      </c>
      <c r="R104" s="149">
        <v>4512</v>
      </c>
      <c r="S104" s="149">
        <v>4512</v>
      </c>
      <c r="T104" s="149">
        <v>4512</v>
      </c>
      <c r="U104" s="149">
        <v>4512</v>
      </c>
    </row>
    <row r="105" spans="2:21">
      <c r="B105" s="102" t="s">
        <v>333</v>
      </c>
      <c r="C105" s="148" t="s">
        <v>172</v>
      </c>
      <c r="D105" s="148" t="s">
        <v>5</v>
      </c>
      <c r="E105" s="148" t="s">
        <v>177</v>
      </c>
      <c r="F105" s="148" t="s">
        <v>195</v>
      </c>
      <c r="G105" s="148" t="s">
        <v>195</v>
      </c>
      <c r="H105" s="148" t="s">
        <v>202</v>
      </c>
      <c r="I105" s="100">
        <f t="shared" si="1"/>
        <v>117203.33409090909</v>
      </c>
      <c r="J105" s="149">
        <v>11984.334090909089</v>
      </c>
      <c r="K105" s="149">
        <v>11732</v>
      </c>
      <c r="L105" s="149">
        <v>11222.999999999998</v>
      </c>
      <c r="M105" s="149">
        <v>10743</v>
      </c>
      <c r="N105" s="149">
        <v>9386</v>
      </c>
      <c r="O105" s="149">
        <v>8822</v>
      </c>
      <c r="P105" s="149">
        <v>9127.9999999999982</v>
      </c>
      <c r="Q105" s="149">
        <v>9052</v>
      </c>
      <c r="R105" s="149">
        <v>8832</v>
      </c>
      <c r="S105" s="149">
        <v>8479</v>
      </c>
      <c r="T105" s="149">
        <v>8390</v>
      </c>
      <c r="U105" s="149">
        <v>9432</v>
      </c>
    </row>
    <row r="106" spans="2:21">
      <c r="B106" s="102" t="s">
        <v>333</v>
      </c>
      <c r="C106" s="148" t="s">
        <v>172</v>
      </c>
      <c r="D106" s="148" t="s">
        <v>5</v>
      </c>
      <c r="E106" s="148" t="s">
        <v>177</v>
      </c>
      <c r="F106" s="148" t="s">
        <v>195</v>
      </c>
      <c r="G106" s="148" t="s">
        <v>195</v>
      </c>
      <c r="H106" s="148" t="s">
        <v>201</v>
      </c>
      <c r="I106" s="100">
        <f t="shared" si="1"/>
        <v>9250.1428571428569</v>
      </c>
      <c r="J106" s="149">
        <v>1668.1428571428569</v>
      </c>
      <c r="K106" s="149">
        <v>1447.9999999999998</v>
      </c>
      <c r="L106" s="149">
        <v>1297.9999999999998</v>
      </c>
      <c r="M106" s="149">
        <v>993.99999999999989</v>
      </c>
      <c r="N106" s="149">
        <v>583</v>
      </c>
      <c r="O106" s="149">
        <v>464.99999999999994</v>
      </c>
      <c r="P106" s="149">
        <v>231.99999999999997</v>
      </c>
      <c r="Q106" s="149">
        <v>329</v>
      </c>
      <c r="R106" s="149">
        <v>260.99999999999994</v>
      </c>
      <c r="S106" s="149">
        <v>307.99999999999994</v>
      </c>
      <c r="T106" s="149">
        <v>560</v>
      </c>
      <c r="U106" s="149">
        <v>1104</v>
      </c>
    </row>
    <row r="107" spans="2:21">
      <c r="B107" s="102" t="s">
        <v>333</v>
      </c>
      <c r="C107" s="148" t="s">
        <v>172</v>
      </c>
      <c r="D107" s="148" t="s">
        <v>7</v>
      </c>
      <c r="E107" s="148" t="s">
        <v>195</v>
      </c>
      <c r="F107" s="148" t="s">
        <v>195</v>
      </c>
      <c r="G107" s="148" t="s">
        <v>195</v>
      </c>
      <c r="H107" s="148" t="s">
        <v>350</v>
      </c>
      <c r="I107" s="100">
        <f t="shared" si="1"/>
        <v>119</v>
      </c>
      <c r="J107" s="149">
        <v>9</v>
      </c>
      <c r="K107" s="149">
        <v>10</v>
      </c>
      <c r="L107" s="149">
        <v>10</v>
      </c>
      <c r="M107" s="149">
        <v>10</v>
      </c>
      <c r="N107" s="149">
        <v>10</v>
      </c>
      <c r="O107" s="149">
        <v>10</v>
      </c>
      <c r="P107" s="149">
        <v>10</v>
      </c>
      <c r="Q107" s="149">
        <v>10</v>
      </c>
      <c r="R107" s="149">
        <v>10</v>
      </c>
      <c r="S107" s="149">
        <v>10</v>
      </c>
      <c r="T107" s="149">
        <v>10</v>
      </c>
      <c r="U107" s="149">
        <v>10</v>
      </c>
    </row>
    <row r="108" spans="2:21">
      <c r="B108" s="102" t="s">
        <v>333</v>
      </c>
      <c r="C108" s="148" t="s">
        <v>172</v>
      </c>
      <c r="D108" s="148" t="s">
        <v>7</v>
      </c>
      <c r="E108" s="148" t="s">
        <v>176</v>
      </c>
      <c r="F108" s="148" t="s">
        <v>195</v>
      </c>
      <c r="G108" s="148" t="s">
        <v>203</v>
      </c>
      <c r="H108" s="148" t="s">
        <v>335</v>
      </c>
      <c r="I108" s="100">
        <f t="shared" si="1"/>
        <v>309</v>
      </c>
      <c r="J108" s="149">
        <v>25</v>
      </c>
      <c r="K108" s="149">
        <v>25</v>
      </c>
      <c r="L108" s="149">
        <v>25</v>
      </c>
      <c r="M108" s="149">
        <v>26</v>
      </c>
      <c r="N108" s="149">
        <v>26</v>
      </c>
      <c r="O108" s="149">
        <v>26</v>
      </c>
      <c r="P108" s="149">
        <v>26</v>
      </c>
      <c r="Q108" s="149">
        <v>26</v>
      </c>
      <c r="R108" s="149">
        <v>26</v>
      </c>
      <c r="S108" s="149">
        <v>26</v>
      </c>
      <c r="T108" s="149">
        <v>26</v>
      </c>
      <c r="U108" s="149">
        <v>26</v>
      </c>
    </row>
    <row r="109" spans="2:21">
      <c r="B109" s="102" t="s">
        <v>333</v>
      </c>
      <c r="C109" s="148" t="s">
        <v>172</v>
      </c>
      <c r="D109" s="148" t="s">
        <v>7</v>
      </c>
      <c r="E109" s="148" t="s">
        <v>176</v>
      </c>
      <c r="F109" s="148" t="s">
        <v>195</v>
      </c>
      <c r="G109" s="148" t="s">
        <v>204</v>
      </c>
      <c r="H109" s="148" t="s">
        <v>335</v>
      </c>
      <c r="I109" s="100">
        <f t="shared" si="1"/>
        <v>27</v>
      </c>
      <c r="J109" s="149">
        <v>3</v>
      </c>
      <c r="K109" s="149">
        <v>3</v>
      </c>
      <c r="L109" s="149">
        <v>3</v>
      </c>
      <c r="M109" s="149">
        <v>2</v>
      </c>
      <c r="N109" s="149">
        <v>2</v>
      </c>
      <c r="O109" s="149">
        <v>2</v>
      </c>
      <c r="P109" s="149">
        <v>2</v>
      </c>
      <c r="Q109" s="149">
        <v>2</v>
      </c>
      <c r="R109" s="149">
        <v>2</v>
      </c>
      <c r="S109" s="149">
        <v>2</v>
      </c>
      <c r="T109" s="149">
        <v>2</v>
      </c>
      <c r="U109" s="149">
        <v>2</v>
      </c>
    </row>
    <row r="110" spans="2:21">
      <c r="B110" s="102" t="s">
        <v>333</v>
      </c>
      <c r="C110" s="148" t="s">
        <v>172</v>
      </c>
      <c r="D110" s="148" t="s">
        <v>7</v>
      </c>
      <c r="E110" s="148" t="s">
        <v>176</v>
      </c>
      <c r="F110" s="148" t="s">
        <v>195</v>
      </c>
      <c r="G110" s="148" t="s">
        <v>203</v>
      </c>
      <c r="H110" s="148" t="s">
        <v>281</v>
      </c>
      <c r="I110" s="100">
        <f t="shared" si="1"/>
        <v>404993</v>
      </c>
      <c r="J110" s="149">
        <v>32227</v>
      </c>
      <c r="K110" s="149">
        <v>31996</v>
      </c>
      <c r="L110" s="149">
        <v>31835</v>
      </c>
      <c r="M110" s="149">
        <v>34629</v>
      </c>
      <c r="N110" s="149">
        <v>34364</v>
      </c>
      <c r="O110" s="149">
        <v>34332</v>
      </c>
      <c r="P110" s="149">
        <v>34329</v>
      </c>
      <c r="Q110" s="149">
        <v>34250</v>
      </c>
      <c r="R110" s="149">
        <v>34264</v>
      </c>
      <c r="S110" s="149">
        <v>34285</v>
      </c>
      <c r="T110" s="149">
        <v>34221</v>
      </c>
      <c r="U110" s="149">
        <v>34261</v>
      </c>
    </row>
    <row r="111" spans="2:21">
      <c r="B111" s="102" t="s">
        <v>333</v>
      </c>
      <c r="C111" s="148" t="s">
        <v>172</v>
      </c>
      <c r="D111" s="148" t="s">
        <v>7</v>
      </c>
      <c r="E111" s="148" t="s">
        <v>176</v>
      </c>
      <c r="F111" s="148" t="s">
        <v>195</v>
      </c>
      <c r="G111" s="148" t="s">
        <v>204</v>
      </c>
      <c r="H111" s="148" t="s">
        <v>281</v>
      </c>
      <c r="I111" s="100">
        <f t="shared" si="1"/>
        <v>105203</v>
      </c>
      <c r="J111" s="149">
        <v>11014</v>
      </c>
      <c r="K111" s="149">
        <v>11173</v>
      </c>
      <c r="L111" s="149">
        <v>11156</v>
      </c>
      <c r="M111" s="149">
        <v>7990.9999999999982</v>
      </c>
      <c r="N111" s="149">
        <v>7990.9999999999982</v>
      </c>
      <c r="O111" s="149">
        <v>7990.9999999999982</v>
      </c>
      <c r="P111" s="149">
        <v>7990.9999999999982</v>
      </c>
      <c r="Q111" s="149">
        <v>7990.9999999999982</v>
      </c>
      <c r="R111" s="149">
        <v>7990.9999999999982</v>
      </c>
      <c r="S111" s="149">
        <v>7990.9999999999982</v>
      </c>
      <c r="T111" s="149">
        <v>7963</v>
      </c>
      <c r="U111" s="149">
        <v>7959.9999999999982</v>
      </c>
    </row>
    <row r="112" spans="2:21">
      <c r="B112" s="102" t="s">
        <v>333</v>
      </c>
      <c r="C112" s="148" t="s">
        <v>172</v>
      </c>
      <c r="D112" s="148" t="s">
        <v>7</v>
      </c>
      <c r="E112" s="148" t="s">
        <v>176</v>
      </c>
      <c r="F112" s="148" t="s">
        <v>195</v>
      </c>
      <c r="G112" s="148" t="s">
        <v>195</v>
      </c>
      <c r="H112" s="148" t="s">
        <v>202</v>
      </c>
      <c r="I112" s="100">
        <f t="shared" si="1"/>
        <v>431793</v>
      </c>
      <c r="J112" s="149">
        <v>36500</v>
      </c>
      <c r="K112" s="149">
        <v>36668</v>
      </c>
      <c r="L112" s="149">
        <v>34965</v>
      </c>
      <c r="M112" s="149">
        <v>38455</v>
      </c>
      <c r="N112" s="149">
        <v>37933</v>
      </c>
      <c r="O112" s="149">
        <v>35125</v>
      </c>
      <c r="P112" s="149">
        <v>34231</v>
      </c>
      <c r="Q112" s="149">
        <v>34714</v>
      </c>
      <c r="R112" s="149">
        <v>35951</v>
      </c>
      <c r="S112" s="149">
        <v>35611</v>
      </c>
      <c r="T112" s="149">
        <v>35612</v>
      </c>
      <c r="U112" s="149">
        <v>36028</v>
      </c>
    </row>
    <row r="113" spans="2:21">
      <c r="B113" s="102" t="s">
        <v>333</v>
      </c>
      <c r="C113" s="148" t="s">
        <v>172</v>
      </c>
      <c r="D113" s="148" t="s">
        <v>7</v>
      </c>
      <c r="E113" s="148" t="s">
        <v>176</v>
      </c>
      <c r="F113" s="148" t="s">
        <v>195</v>
      </c>
      <c r="G113" s="148" t="s">
        <v>195</v>
      </c>
      <c r="H113" s="148" t="s">
        <v>201</v>
      </c>
      <c r="I113" s="100">
        <f t="shared" si="1"/>
        <v>108851</v>
      </c>
      <c r="J113" s="149">
        <v>9276.0000000000018</v>
      </c>
      <c r="K113" s="149">
        <v>9368</v>
      </c>
      <c r="L113" s="149">
        <v>9327</v>
      </c>
      <c r="M113" s="149">
        <v>9357.0000000000018</v>
      </c>
      <c r="N113" s="149">
        <v>9179</v>
      </c>
      <c r="O113" s="149">
        <v>8800</v>
      </c>
      <c r="P113" s="149">
        <v>8754</v>
      </c>
      <c r="Q113" s="149">
        <v>9077</v>
      </c>
      <c r="R113" s="149">
        <v>8759</v>
      </c>
      <c r="S113" s="149">
        <v>8977</v>
      </c>
      <c r="T113" s="149">
        <v>8944.0000000000018</v>
      </c>
      <c r="U113" s="149">
        <v>9033</v>
      </c>
    </row>
    <row r="114" spans="2:21">
      <c r="B114" s="102" t="s">
        <v>333</v>
      </c>
      <c r="C114" s="148" t="s">
        <v>172</v>
      </c>
      <c r="D114" s="148" t="s">
        <v>7</v>
      </c>
      <c r="E114" s="148" t="s">
        <v>177</v>
      </c>
      <c r="F114" s="148" t="s">
        <v>195</v>
      </c>
      <c r="G114" s="148" t="s">
        <v>203</v>
      </c>
      <c r="H114" s="148" t="s">
        <v>335</v>
      </c>
      <c r="I114" s="100">
        <f t="shared" si="1"/>
        <v>12</v>
      </c>
      <c r="J114" s="149">
        <v>1</v>
      </c>
      <c r="K114" s="149">
        <v>1</v>
      </c>
      <c r="L114" s="149">
        <v>1</v>
      </c>
      <c r="M114" s="149">
        <v>1</v>
      </c>
      <c r="N114" s="149">
        <v>1</v>
      </c>
      <c r="O114" s="149">
        <v>1</v>
      </c>
      <c r="P114" s="149">
        <v>1</v>
      </c>
      <c r="Q114" s="149">
        <v>1</v>
      </c>
      <c r="R114" s="149">
        <v>1</v>
      </c>
      <c r="S114" s="149">
        <v>1</v>
      </c>
      <c r="T114" s="149">
        <v>1</v>
      </c>
      <c r="U114" s="149">
        <v>1</v>
      </c>
    </row>
    <row r="115" spans="2:21">
      <c r="B115" s="102" t="s">
        <v>333</v>
      </c>
      <c r="C115" s="148" t="s">
        <v>172</v>
      </c>
      <c r="D115" s="148" t="s">
        <v>7</v>
      </c>
      <c r="E115" s="148" t="s">
        <v>177</v>
      </c>
      <c r="F115" s="148" t="s">
        <v>195</v>
      </c>
      <c r="G115" s="148" t="s">
        <v>203</v>
      </c>
      <c r="H115" s="148" t="s">
        <v>281</v>
      </c>
      <c r="I115" s="100">
        <f t="shared" si="1"/>
        <v>1080</v>
      </c>
      <c r="J115" s="149">
        <v>143.00000000000003</v>
      </c>
      <c r="K115" s="149">
        <v>143.00000000000003</v>
      </c>
      <c r="L115" s="149">
        <v>77.000000000000043</v>
      </c>
      <c r="M115" s="149">
        <v>77.000000000000043</v>
      </c>
      <c r="N115" s="149">
        <v>77.000000000000043</v>
      </c>
      <c r="O115" s="149">
        <v>77.000000000000043</v>
      </c>
      <c r="P115" s="149">
        <v>77.999999999999886</v>
      </c>
      <c r="Q115" s="149">
        <v>79.999999999999929</v>
      </c>
      <c r="R115" s="149">
        <v>81.999999999999972</v>
      </c>
      <c r="S115" s="149">
        <v>81.999999999999972</v>
      </c>
      <c r="T115" s="149">
        <v>81.999999999999972</v>
      </c>
      <c r="U115" s="149">
        <v>81.999999999999972</v>
      </c>
    </row>
    <row r="116" spans="2:21">
      <c r="B116" s="102" t="s">
        <v>333</v>
      </c>
      <c r="C116" s="148" t="s">
        <v>172</v>
      </c>
      <c r="D116" s="148" t="s">
        <v>7</v>
      </c>
      <c r="E116" s="148" t="s">
        <v>177</v>
      </c>
      <c r="F116" s="148" t="s">
        <v>195</v>
      </c>
      <c r="G116" s="148" t="s">
        <v>195</v>
      </c>
      <c r="H116" s="148" t="s">
        <v>202</v>
      </c>
      <c r="I116" s="100">
        <f t="shared" si="1"/>
        <v>5999.9999999999991</v>
      </c>
      <c r="J116" s="149">
        <v>499.99999999999994</v>
      </c>
      <c r="K116" s="149">
        <v>499.99999999999994</v>
      </c>
      <c r="L116" s="149">
        <v>499.99999999999994</v>
      </c>
      <c r="M116" s="149">
        <v>499.99999999999994</v>
      </c>
      <c r="N116" s="149">
        <v>499.99999999999994</v>
      </c>
      <c r="O116" s="149">
        <v>499.99999999999994</v>
      </c>
      <c r="P116" s="149">
        <v>499.99999999999994</v>
      </c>
      <c r="Q116" s="149">
        <v>499.99999999999994</v>
      </c>
      <c r="R116" s="149">
        <v>499.99999999999994</v>
      </c>
      <c r="S116" s="149">
        <v>499.99999999999994</v>
      </c>
      <c r="T116" s="149">
        <v>499.99999999999994</v>
      </c>
      <c r="U116" s="149">
        <v>499.99999999999994</v>
      </c>
    </row>
    <row r="117" spans="2:21">
      <c r="B117" s="102" t="s">
        <v>333</v>
      </c>
      <c r="C117" s="148" t="s">
        <v>172</v>
      </c>
      <c r="D117" s="148" t="s">
        <v>7</v>
      </c>
      <c r="E117" s="148" t="s">
        <v>177</v>
      </c>
      <c r="F117" s="148" t="s">
        <v>195</v>
      </c>
      <c r="G117" s="148" t="s">
        <v>195</v>
      </c>
      <c r="H117" s="148" t="s">
        <v>201</v>
      </c>
      <c r="I117" s="100">
        <f t="shared" si="1"/>
        <v>601</v>
      </c>
      <c r="J117" s="149">
        <v>53.999999999999993</v>
      </c>
      <c r="K117" s="149">
        <v>57</v>
      </c>
      <c r="L117" s="149">
        <v>52</v>
      </c>
      <c r="M117" s="149">
        <v>47.999999999999993</v>
      </c>
      <c r="N117" s="149">
        <v>49</v>
      </c>
      <c r="O117" s="149">
        <v>49</v>
      </c>
      <c r="P117" s="149">
        <v>44</v>
      </c>
      <c r="Q117" s="149">
        <v>49</v>
      </c>
      <c r="R117" s="149">
        <v>47.999999999999993</v>
      </c>
      <c r="S117" s="149">
        <v>49.999999999999993</v>
      </c>
      <c r="T117" s="149">
        <v>49</v>
      </c>
      <c r="U117" s="149">
        <v>52</v>
      </c>
    </row>
    <row r="118" spans="2:21">
      <c r="B118" s="102" t="s">
        <v>333</v>
      </c>
      <c r="C118" s="148" t="s">
        <v>287</v>
      </c>
      <c r="D118" s="148" t="s">
        <v>7</v>
      </c>
      <c r="E118" s="148" t="s">
        <v>177</v>
      </c>
      <c r="F118" s="148" t="s">
        <v>195</v>
      </c>
      <c r="G118" s="148" t="s">
        <v>195</v>
      </c>
      <c r="H118" s="148" t="s">
        <v>350</v>
      </c>
      <c r="I118" s="100">
        <f t="shared" si="1"/>
        <v>12</v>
      </c>
      <c r="J118" s="149">
        <v>1</v>
      </c>
      <c r="K118" s="149">
        <v>1</v>
      </c>
      <c r="L118" s="149">
        <v>1</v>
      </c>
      <c r="M118" s="149">
        <v>1</v>
      </c>
      <c r="N118" s="149">
        <v>1</v>
      </c>
      <c r="O118" s="149">
        <v>1</v>
      </c>
      <c r="P118" s="149">
        <v>1</v>
      </c>
      <c r="Q118" s="149">
        <v>1</v>
      </c>
      <c r="R118" s="149">
        <v>1</v>
      </c>
      <c r="S118" s="149">
        <v>1</v>
      </c>
      <c r="T118" s="149">
        <v>1</v>
      </c>
      <c r="U118" s="149">
        <v>1</v>
      </c>
    </row>
    <row r="119" spans="2:21">
      <c r="B119" s="102" t="s">
        <v>333</v>
      </c>
      <c r="C119" s="148" t="s">
        <v>287</v>
      </c>
      <c r="D119" s="148" t="s">
        <v>7</v>
      </c>
      <c r="E119" s="148" t="s">
        <v>177</v>
      </c>
      <c r="F119" s="148" t="s">
        <v>195</v>
      </c>
      <c r="G119" s="148" t="s">
        <v>195</v>
      </c>
      <c r="H119" s="148" t="s">
        <v>335</v>
      </c>
      <c r="I119" s="100">
        <f t="shared" si="1"/>
        <v>12</v>
      </c>
      <c r="J119" s="149">
        <v>1</v>
      </c>
      <c r="K119" s="149">
        <v>1</v>
      </c>
      <c r="L119" s="149">
        <v>1</v>
      </c>
      <c r="M119" s="149">
        <v>1</v>
      </c>
      <c r="N119" s="149">
        <v>1</v>
      </c>
      <c r="O119" s="149">
        <v>1</v>
      </c>
      <c r="P119" s="149">
        <v>1</v>
      </c>
      <c r="Q119" s="149">
        <v>1</v>
      </c>
      <c r="R119" s="149">
        <v>1</v>
      </c>
      <c r="S119" s="149">
        <v>1</v>
      </c>
      <c r="T119" s="149">
        <v>1</v>
      </c>
      <c r="U119" s="149">
        <v>1</v>
      </c>
    </row>
    <row r="120" spans="2:21">
      <c r="B120" s="102" t="s">
        <v>333</v>
      </c>
      <c r="C120" s="148" t="s">
        <v>287</v>
      </c>
      <c r="D120" s="148" t="s">
        <v>7</v>
      </c>
      <c r="E120" s="148" t="s">
        <v>177</v>
      </c>
      <c r="F120" s="148" t="s">
        <v>195</v>
      </c>
      <c r="G120" s="148" t="s">
        <v>195</v>
      </c>
      <c r="H120" s="148" t="s">
        <v>281</v>
      </c>
      <c r="I120" s="100">
        <f t="shared" si="1"/>
        <v>827586</v>
      </c>
      <c r="J120" s="149">
        <v>68908</v>
      </c>
      <c r="K120" s="149">
        <v>68559.999999999985</v>
      </c>
      <c r="L120" s="149">
        <v>68559.999999999985</v>
      </c>
      <c r="M120" s="149">
        <v>68559.999999999985</v>
      </c>
      <c r="N120" s="149">
        <v>68559.999999999985</v>
      </c>
      <c r="O120" s="149">
        <v>68559.999999999985</v>
      </c>
      <c r="P120" s="149">
        <v>68627</v>
      </c>
      <c r="Q120" s="149">
        <v>69197</v>
      </c>
      <c r="R120" s="149">
        <v>69590</v>
      </c>
      <c r="S120" s="149">
        <v>69488</v>
      </c>
      <c r="T120" s="149">
        <v>69488</v>
      </c>
      <c r="U120" s="149">
        <v>69488</v>
      </c>
    </row>
    <row r="121" spans="2:21">
      <c r="B121" s="102" t="s">
        <v>333</v>
      </c>
      <c r="C121" s="148" t="s">
        <v>287</v>
      </c>
      <c r="D121" s="148" t="s">
        <v>7</v>
      </c>
      <c r="E121" s="148" t="s">
        <v>177</v>
      </c>
      <c r="F121" s="148" t="s">
        <v>195</v>
      </c>
      <c r="G121" s="148" t="s">
        <v>195</v>
      </c>
      <c r="H121" s="148" t="s">
        <v>202</v>
      </c>
      <c r="I121" s="100">
        <f t="shared" si="1"/>
        <v>815013</v>
      </c>
      <c r="J121" s="149">
        <v>68280</v>
      </c>
      <c r="K121" s="149">
        <v>66227</v>
      </c>
      <c r="L121" s="149">
        <v>66859</v>
      </c>
      <c r="M121" s="149">
        <v>66315</v>
      </c>
      <c r="N121" s="149">
        <v>66246</v>
      </c>
      <c r="O121" s="149">
        <v>68050</v>
      </c>
      <c r="P121" s="149">
        <v>68414</v>
      </c>
      <c r="Q121" s="149">
        <v>69555</v>
      </c>
      <c r="R121" s="149">
        <v>69421</v>
      </c>
      <c r="S121" s="149">
        <v>68512</v>
      </c>
      <c r="T121" s="149">
        <v>68862</v>
      </c>
      <c r="U121" s="149">
        <v>68272</v>
      </c>
    </row>
    <row r="122" spans="2:21">
      <c r="B122" s="102" t="s">
        <v>333</v>
      </c>
      <c r="C122" s="148" t="s">
        <v>287</v>
      </c>
      <c r="D122" s="148" t="s">
        <v>7</v>
      </c>
      <c r="E122" s="148" t="s">
        <v>177</v>
      </c>
      <c r="F122" s="148" t="s">
        <v>195</v>
      </c>
      <c r="G122" s="148" t="s">
        <v>195</v>
      </c>
      <c r="H122" s="148" t="s">
        <v>201</v>
      </c>
      <c r="I122" s="100">
        <f t="shared" si="1"/>
        <v>22838.999999999996</v>
      </c>
      <c r="J122" s="149">
        <v>2000.9999999999998</v>
      </c>
      <c r="K122" s="149">
        <v>2250.9999999999995</v>
      </c>
      <c r="L122" s="149">
        <v>2550</v>
      </c>
      <c r="M122" s="149">
        <v>1824.9999999999998</v>
      </c>
      <c r="N122" s="149">
        <v>1312.9999999999998</v>
      </c>
      <c r="O122" s="149">
        <v>1154</v>
      </c>
      <c r="P122" s="149">
        <v>897</v>
      </c>
      <c r="Q122" s="149">
        <v>912</v>
      </c>
      <c r="R122" s="149">
        <v>2144</v>
      </c>
      <c r="S122" s="149">
        <v>2205.9999999999995</v>
      </c>
      <c r="T122" s="149">
        <v>2854.9999999999995</v>
      </c>
      <c r="U122" s="149">
        <v>2730.9999999999995</v>
      </c>
    </row>
    <row r="123" spans="2:21">
      <c r="B123" s="102" t="s">
        <v>333</v>
      </c>
      <c r="C123" s="148" t="s">
        <v>169</v>
      </c>
      <c r="D123" s="148" t="s">
        <v>4</v>
      </c>
      <c r="E123" s="148" t="s">
        <v>195</v>
      </c>
      <c r="F123" s="148" t="s">
        <v>195</v>
      </c>
      <c r="G123" s="148" t="s">
        <v>195</v>
      </c>
      <c r="H123" s="148" t="s">
        <v>337</v>
      </c>
      <c r="I123" s="100">
        <f t="shared" si="1"/>
        <v>11358.954476087458</v>
      </c>
      <c r="J123" s="149">
        <v>954.46549560853191</v>
      </c>
      <c r="K123" s="149">
        <v>951.90213299874529</v>
      </c>
      <c r="L123" s="149">
        <v>951.69761606022576</v>
      </c>
      <c r="M123" s="149">
        <v>949.73274780426607</v>
      </c>
      <c r="N123" s="149">
        <v>948.26725219573416</v>
      </c>
      <c r="O123" s="149">
        <v>947.59974905897127</v>
      </c>
      <c r="P123" s="149">
        <v>945.95770551927626</v>
      </c>
      <c r="Q123" s="149">
        <v>945.02434887448294</v>
      </c>
      <c r="R123" s="149">
        <v>944.33795712484255</v>
      </c>
      <c r="S123" s="149">
        <v>940.22638089006239</v>
      </c>
      <c r="T123" s="149">
        <v>940.01227666480372</v>
      </c>
      <c r="U123" s="149">
        <v>939.73081328751437</v>
      </c>
    </row>
    <row r="124" spans="2:21">
      <c r="B124" s="102" t="s">
        <v>333</v>
      </c>
      <c r="C124" s="148" t="s">
        <v>169</v>
      </c>
      <c r="D124" s="148" t="s">
        <v>4</v>
      </c>
      <c r="E124" s="148" t="s">
        <v>195</v>
      </c>
      <c r="F124" s="148" t="s">
        <v>195</v>
      </c>
      <c r="G124" s="148" t="s">
        <v>195</v>
      </c>
      <c r="H124" s="148" t="s">
        <v>338</v>
      </c>
      <c r="I124" s="100">
        <f t="shared" si="1"/>
        <v>526.33326791014065</v>
      </c>
      <c r="J124" s="149">
        <v>43.033333333333331</v>
      </c>
      <c r="K124" s="149">
        <v>43.066666666666663</v>
      </c>
      <c r="L124" s="149">
        <v>44</v>
      </c>
      <c r="M124" s="149">
        <v>44</v>
      </c>
      <c r="N124" s="149">
        <v>44</v>
      </c>
      <c r="O124" s="149">
        <v>44.033333333333331</v>
      </c>
      <c r="P124" s="149">
        <v>44.000926756352769</v>
      </c>
      <c r="Q124" s="149">
        <v>43.997583457897363</v>
      </c>
      <c r="R124" s="149">
        <v>44</v>
      </c>
      <c r="S124" s="149">
        <v>43.99971187799224</v>
      </c>
      <c r="T124" s="149">
        <v>44.001712484564891</v>
      </c>
      <c r="U124" s="149">
        <v>44.2</v>
      </c>
    </row>
    <row r="125" spans="2:21">
      <c r="B125" s="102" t="s">
        <v>333</v>
      </c>
      <c r="C125" s="148" t="s">
        <v>169</v>
      </c>
      <c r="D125" s="148" t="s">
        <v>4</v>
      </c>
      <c r="E125" s="148" t="s">
        <v>195</v>
      </c>
      <c r="F125" s="148" t="s">
        <v>195</v>
      </c>
      <c r="G125" s="148" t="s">
        <v>195</v>
      </c>
      <c r="H125" s="148" t="s">
        <v>339</v>
      </c>
      <c r="I125" s="100">
        <f t="shared" si="1"/>
        <v>24.000151301886131</v>
      </c>
      <c r="J125" s="149">
        <v>2</v>
      </c>
      <c r="K125" s="149">
        <v>2</v>
      </c>
      <c r="L125" s="149">
        <v>2</v>
      </c>
      <c r="M125" s="149">
        <v>2</v>
      </c>
      <c r="N125" s="149">
        <v>2</v>
      </c>
      <c r="O125" s="149">
        <v>2</v>
      </c>
      <c r="P125" s="149">
        <v>2</v>
      </c>
      <c r="Q125" s="149">
        <v>2.0006167131961403</v>
      </c>
      <c r="R125" s="149">
        <v>2</v>
      </c>
      <c r="S125" s="149">
        <v>2</v>
      </c>
      <c r="T125" s="149">
        <v>1.9995345886899889</v>
      </c>
      <c r="U125" s="149">
        <v>2</v>
      </c>
    </row>
    <row r="126" spans="2:21">
      <c r="B126" s="102" t="s">
        <v>333</v>
      </c>
      <c r="C126" s="148" t="s">
        <v>169</v>
      </c>
      <c r="D126" s="148" t="s">
        <v>5</v>
      </c>
      <c r="E126" s="148" t="s">
        <v>195</v>
      </c>
      <c r="F126" s="148" t="s">
        <v>195</v>
      </c>
      <c r="G126" s="148" t="s">
        <v>195</v>
      </c>
      <c r="H126" s="148" t="s">
        <v>337</v>
      </c>
      <c r="I126" s="100">
        <f t="shared" si="1"/>
        <v>13292.36576712665</v>
      </c>
      <c r="J126" s="149">
        <v>1113.302383939774</v>
      </c>
      <c r="K126" s="149">
        <v>1109.8971141781683</v>
      </c>
      <c r="L126" s="149">
        <v>1108.2634880803009</v>
      </c>
      <c r="M126" s="149">
        <v>1107.0966122961104</v>
      </c>
      <c r="N126" s="149">
        <v>1110.9623588456714</v>
      </c>
      <c r="O126" s="149">
        <v>1111.1631116687572</v>
      </c>
      <c r="P126" s="149">
        <v>1107.0901599788604</v>
      </c>
      <c r="Q126" s="149">
        <v>1105.894837355087</v>
      </c>
      <c r="R126" s="149">
        <v>1106.4691046658263</v>
      </c>
      <c r="S126" s="149">
        <v>1105.2053347662613</v>
      </c>
      <c r="T126" s="149">
        <v>1104.0224068272059</v>
      </c>
      <c r="U126" s="149">
        <v>1102.9988545246276</v>
      </c>
    </row>
    <row r="127" spans="2:21">
      <c r="B127" s="102" t="s">
        <v>333</v>
      </c>
      <c r="C127" s="148" t="s">
        <v>169</v>
      </c>
      <c r="D127" s="148" t="s">
        <v>5</v>
      </c>
      <c r="E127" s="148" t="s">
        <v>195</v>
      </c>
      <c r="F127" s="148" t="s">
        <v>195</v>
      </c>
      <c r="G127" s="148" t="s">
        <v>195</v>
      </c>
      <c r="H127" s="148" t="s">
        <v>338</v>
      </c>
      <c r="I127" s="100">
        <f t="shared" si="1"/>
        <v>4567.0003983882498</v>
      </c>
      <c r="J127" s="149">
        <v>379.30000000000007</v>
      </c>
      <c r="K127" s="149">
        <v>381.63333333333327</v>
      </c>
      <c r="L127" s="149">
        <v>380.9666666666667</v>
      </c>
      <c r="M127" s="149">
        <v>380.89999999999992</v>
      </c>
      <c r="N127" s="149">
        <v>381.16666666666669</v>
      </c>
      <c r="O127" s="149">
        <v>381.5333333333333</v>
      </c>
      <c r="P127" s="149">
        <v>380.14745391131055</v>
      </c>
      <c r="Q127" s="149">
        <v>379.82981564524152</v>
      </c>
      <c r="R127" s="149">
        <v>379.86547085201801</v>
      </c>
      <c r="S127" s="149">
        <v>380.23218409479858</v>
      </c>
      <c r="T127" s="149">
        <v>380.42547388488117</v>
      </c>
      <c r="U127" s="149">
        <v>381</v>
      </c>
    </row>
    <row r="128" spans="2:21">
      <c r="B128" s="102" t="s">
        <v>333</v>
      </c>
      <c r="C128" s="148" t="s">
        <v>169</v>
      </c>
      <c r="D128" s="148" t="s">
        <v>5</v>
      </c>
      <c r="E128" s="148" t="s">
        <v>195</v>
      </c>
      <c r="F128" s="148" t="s">
        <v>195</v>
      </c>
      <c r="G128" s="148" t="s">
        <v>195</v>
      </c>
      <c r="H128" s="148" t="s">
        <v>339</v>
      </c>
      <c r="I128" s="100">
        <f t="shared" si="1"/>
        <v>953.11491762270532</v>
      </c>
      <c r="J128" s="149">
        <v>79.833490122295387</v>
      </c>
      <c r="K128" s="149">
        <v>80</v>
      </c>
      <c r="L128" s="149">
        <v>80</v>
      </c>
      <c r="M128" s="149">
        <v>80</v>
      </c>
      <c r="N128" s="149">
        <v>80</v>
      </c>
      <c r="O128" s="149">
        <v>79.451552210724373</v>
      </c>
      <c r="P128" s="149">
        <v>78.997355025406975</v>
      </c>
      <c r="Q128" s="149">
        <v>78.997743492064629</v>
      </c>
      <c r="R128" s="149">
        <v>79</v>
      </c>
      <c r="S128" s="149">
        <v>78.83241431195097</v>
      </c>
      <c r="T128" s="149">
        <v>79.002362460263001</v>
      </c>
      <c r="U128" s="149">
        <v>79</v>
      </c>
    </row>
    <row r="129" spans="2:21">
      <c r="B129" s="102" t="s">
        <v>333</v>
      </c>
      <c r="C129" s="148" t="s">
        <v>169</v>
      </c>
      <c r="D129" s="148" t="s">
        <v>7</v>
      </c>
      <c r="E129" s="148" t="s">
        <v>195</v>
      </c>
      <c r="F129" s="148" t="s">
        <v>195</v>
      </c>
      <c r="G129" s="148" t="s">
        <v>195</v>
      </c>
      <c r="H129" s="148" t="s">
        <v>337</v>
      </c>
      <c r="I129" s="100">
        <f t="shared" si="1"/>
        <v>553.77376815090633</v>
      </c>
      <c r="J129" s="149">
        <v>46</v>
      </c>
      <c r="K129" s="149">
        <v>46</v>
      </c>
      <c r="L129" s="149">
        <v>46</v>
      </c>
      <c r="M129" s="149">
        <v>46</v>
      </c>
      <c r="N129" s="149">
        <v>46</v>
      </c>
      <c r="O129" s="149">
        <v>46.100376411543287</v>
      </c>
      <c r="P129" s="149">
        <v>46.13408889894481</v>
      </c>
      <c r="Q129" s="149">
        <v>46.001832217600374</v>
      </c>
      <c r="R129" s="149">
        <v>46</v>
      </c>
      <c r="S129" s="149">
        <v>45.999734215046018</v>
      </c>
      <c r="T129" s="149">
        <v>46.470153360807409</v>
      </c>
      <c r="U129" s="149">
        <v>47.067583046964486</v>
      </c>
    </row>
    <row r="130" spans="2:21">
      <c r="B130" s="102" t="s">
        <v>333</v>
      </c>
      <c r="C130" s="148" t="s">
        <v>169</v>
      </c>
      <c r="D130" s="148" t="s">
        <v>7</v>
      </c>
      <c r="E130" s="148" t="s">
        <v>195</v>
      </c>
      <c r="F130" s="148" t="s">
        <v>195</v>
      </c>
      <c r="G130" s="148" t="s">
        <v>195</v>
      </c>
      <c r="H130" s="148" t="s">
        <v>338</v>
      </c>
      <c r="I130" s="100">
        <f t="shared" si="1"/>
        <v>432.00177682459218</v>
      </c>
      <c r="J130" s="149">
        <v>36</v>
      </c>
      <c r="K130" s="149">
        <v>36</v>
      </c>
      <c r="L130" s="149">
        <v>36</v>
      </c>
      <c r="M130" s="149">
        <v>36</v>
      </c>
      <c r="N130" s="149">
        <v>36</v>
      </c>
      <c r="O130" s="149">
        <v>36</v>
      </c>
      <c r="P130" s="149">
        <v>36.001968111609365</v>
      </c>
      <c r="Q130" s="149">
        <v>36.000842052815145</v>
      </c>
      <c r="R130" s="149">
        <v>36</v>
      </c>
      <c r="S130" s="149">
        <v>35.999680466194405</v>
      </c>
      <c r="T130" s="149">
        <v>35.999286193973276</v>
      </c>
      <c r="U130" s="149">
        <v>36</v>
      </c>
    </row>
    <row r="131" spans="2:21">
      <c r="B131" s="102" t="s">
        <v>333</v>
      </c>
      <c r="C131" s="148" t="s">
        <v>169</v>
      </c>
      <c r="D131" s="148" t="s">
        <v>7</v>
      </c>
      <c r="E131" s="148" t="s">
        <v>195</v>
      </c>
      <c r="F131" s="148" t="s">
        <v>195</v>
      </c>
      <c r="G131" s="148" t="s">
        <v>195</v>
      </c>
      <c r="H131" s="148" t="s">
        <v>339</v>
      </c>
      <c r="I131" s="100">
        <f t="shared" si="1"/>
        <v>36.000950710147876</v>
      </c>
      <c r="J131" s="149">
        <v>3</v>
      </c>
      <c r="K131" s="149">
        <v>3</v>
      </c>
      <c r="L131" s="149">
        <v>3</v>
      </c>
      <c r="M131" s="149">
        <v>3</v>
      </c>
      <c r="N131" s="149">
        <v>3</v>
      </c>
      <c r="O131" s="149">
        <v>3</v>
      </c>
      <c r="P131" s="149">
        <v>3</v>
      </c>
      <c r="Q131" s="149">
        <v>3.0009094058160799</v>
      </c>
      <c r="R131" s="149">
        <v>3</v>
      </c>
      <c r="S131" s="149">
        <v>3</v>
      </c>
      <c r="T131" s="149">
        <v>3.0000413043317922</v>
      </c>
      <c r="U131" s="149">
        <v>3</v>
      </c>
    </row>
    <row r="132" spans="2:21">
      <c r="B132" s="102" t="s">
        <v>333</v>
      </c>
      <c r="C132" s="148" t="s">
        <v>170</v>
      </c>
      <c r="D132" s="148" t="s">
        <v>167</v>
      </c>
      <c r="E132" s="148" t="s">
        <v>195</v>
      </c>
      <c r="F132" s="148" t="s">
        <v>195</v>
      </c>
      <c r="G132" s="148" t="s">
        <v>195</v>
      </c>
      <c r="H132" s="148" t="s">
        <v>337</v>
      </c>
      <c r="I132" s="100">
        <f t="shared" si="1"/>
        <v>382.93389518695301</v>
      </c>
      <c r="J132" s="149">
        <v>30.93333333333333</v>
      </c>
      <c r="K132" s="149">
        <v>32</v>
      </c>
      <c r="L132" s="149">
        <v>32</v>
      </c>
      <c r="M132" s="149">
        <v>32</v>
      </c>
      <c r="N132" s="149">
        <v>32</v>
      </c>
      <c r="O132" s="149">
        <v>32</v>
      </c>
      <c r="P132" s="149">
        <v>31.99954824411865</v>
      </c>
      <c r="Q132" s="149">
        <v>32.000988748721454</v>
      </c>
      <c r="R132" s="149">
        <v>32</v>
      </c>
      <c r="S132" s="149">
        <v>32</v>
      </c>
      <c r="T132" s="149">
        <v>32.000024860779632</v>
      </c>
      <c r="U132" s="149">
        <v>32</v>
      </c>
    </row>
    <row r="133" spans="2:21">
      <c r="B133" s="102" t="s">
        <v>333</v>
      </c>
      <c r="C133" s="148" t="s">
        <v>170</v>
      </c>
      <c r="D133" s="148" t="s">
        <v>167</v>
      </c>
      <c r="E133" s="148" t="s">
        <v>195</v>
      </c>
      <c r="F133" s="148" t="s">
        <v>195</v>
      </c>
      <c r="G133" s="148" t="s">
        <v>195</v>
      </c>
      <c r="H133" s="148" t="s">
        <v>338</v>
      </c>
      <c r="I133" s="100">
        <f t="shared" ref="I133:I146" si="2">SUM(J133:U133)</f>
        <v>3558.2369917005844</v>
      </c>
      <c r="J133" s="149">
        <v>293</v>
      </c>
      <c r="K133" s="149">
        <v>293</v>
      </c>
      <c r="L133" s="149">
        <v>293</v>
      </c>
      <c r="M133" s="149">
        <v>293</v>
      </c>
      <c r="N133" s="149">
        <v>293</v>
      </c>
      <c r="O133" s="149">
        <v>293</v>
      </c>
      <c r="P133" s="149">
        <v>296.46334210758943</v>
      </c>
      <c r="Q133" s="149">
        <v>300.25604416921226</v>
      </c>
      <c r="R133" s="149">
        <v>300.51720310765813</v>
      </c>
      <c r="S133" s="149">
        <v>301.00062452561195</v>
      </c>
      <c r="T133" s="149">
        <v>300.99977779051267</v>
      </c>
      <c r="U133" s="149">
        <v>301</v>
      </c>
    </row>
    <row r="134" spans="2:21">
      <c r="B134" s="102" t="s">
        <v>333</v>
      </c>
      <c r="C134" s="148" t="s">
        <v>170</v>
      </c>
      <c r="D134" s="148" t="s">
        <v>167</v>
      </c>
      <c r="E134" s="148" t="s">
        <v>195</v>
      </c>
      <c r="F134" s="148" t="s">
        <v>195</v>
      </c>
      <c r="G134" s="148" t="s">
        <v>195</v>
      </c>
      <c r="H134" s="148" t="s">
        <v>339</v>
      </c>
      <c r="I134" s="100">
        <f t="shared" si="2"/>
        <v>670.30171191440525</v>
      </c>
      <c r="J134" s="149">
        <v>55</v>
      </c>
      <c r="K134" s="149">
        <v>55</v>
      </c>
      <c r="L134" s="149">
        <v>55.533190578158454</v>
      </c>
      <c r="M134" s="149">
        <v>56</v>
      </c>
      <c r="N134" s="149">
        <v>56</v>
      </c>
      <c r="O134" s="149">
        <v>56.5</v>
      </c>
      <c r="P134" s="149">
        <v>56.267404337513803</v>
      </c>
      <c r="Q134" s="149">
        <v>56.000273140283468</v>
      </c>
      <c r="R134" s="149">
        <v>56</v>
      </c>
      <c r="S134" s="149">
        <v>55.999834642149608</v>
      </c>
      <c r="T134" s="149">
        <v>56.001009216299806</v>
      </c>
      <c r="U134" s="149">
        <v>56</v>
      </c>
    </row>
    <row r="135" spans="2:21">
      <c r="B135" s="102" t="s">
        <v>333</v>
      </c>
      <c r="C135" s="148" t="s">
        <v>170</v>
      </c>
      <c r="D135" s="148" t="s">
        <v>167</v>
      </c>
      <c r="E135" s="148" t="s">
        <v>195</v>
      </c>
      <c r="F135" s="148" t="s">
        <v>195</v>
      </c>
      <c r="G135" s="148" t="s">
        <v>195</v>
      </c>
      <c r="H135" s="148" t="s">
        <v>340</v>
      </c>
      <c r="I135" s="100">
        <f t="shared" si="2"/>
        <v>2337.4062264139297</v>
      </c>
      <c r="J135" s="149">
        <v>194</v>
      </c>
      <c r="K135" s="149">
        <v>194</v>
      </c>
      <c r="L135" s="149">
        <v>194</v>
      </c>
      <c r="M135" s="149">
        <v>193.53209109730849</v>
      </c>
      <c r="N135" s="149">
        <v>190.96894409937889</v>
      </c>
      <c r="O135" s="149">
        <v>195.19047619047618</v>
      </c>
      <c r="P135" s="149">
        <v>195.00357789855067</v>
      </c>
      <c r="Q135" s="149">
        <v>195.67899844720495</v>
      </c>
      <c r="R135" s="149">
        <v>196</v>
      </c>
      <c r="S135" s="149">
        <v>195.99944457436857</v>
      </c>
      <c r="T135" s="149">
        <v>195.99901777362024</v>
      </c>
      <c r="U135" s="149">
        <v>197.0336763330215</v>
      </c>
    </row>
    <row r="136" spans="2:21">
      <c r="B136" s="102" t="s">
        <v>333</v>
      </c>
      <c r="C136" s="148" t="s">
        <v>170</v>
      </c>
      <c r="D136" s="148" t="s">
        <v>167</v>
      </c>
      <c r="E136" s="148" t="s">
        <v>195</v>
      </c>
      <c r="F136" s="148" t="s">
        <v>195</v>
      </c>
      <c r="G136" s="148" t="s">
        <v>195</v>
      </c>
      <c r="H136" s="148" t="s">
        <v>341</v>
      </c>
      <c r="I136" s="100">
        <f t="shared" si="2"/>
        <v>2940.6303782198192</v>
      </c>
      <c r="J136" s="149">
        <v>238.18810916179336</v>
      </c>
      <c r="K136" s="149">
        <v>240.33333333333334</v>
      </c>
      <c r="L136" s="149">
        <v>243</v>
      </c>
      <c r="M136" s="149">
        <v>243</v>
      </c>
      <c r="N136" s="149">
        <v>243</v>
      </c>
      <c r="O136" s="149">
        <v>244.1335282651072</v>
      </c>
      <c r="P136" s="149">
        <v>243.26675428075151</v>
      </c>
      <c r="Q136" s="149">
        <v>243.0005595441007</v>
      </c>
      <c r="R136" s="149">
        <v>249.70951913640823</v>
      </c>
      <c r="S136" s="149">
        <v>251.00071655781531</v>
      </c>
      <c r="T136" s="149">
        <v>250.99785794050965</v>
      </c>
      <c r="U136" s="149">
        <v>251</v>
      </c>
    </row>
    <row r="137" spans="2:21">
      <c r="B137" s="102" t="s">
        <v>333</v>
      </c>
      <c r="C137" s="148" t="s">
        <v>170</v>
      </c>
      <c r="D137" s="148" t="s">
        <v>167</v>
      </c>
      <c r="E137" s="148" t="s">
        <v>195</v>
      </c>
      <c r="F137" s="148" t="s">
        <v>195</v>
      </c>
      <c r="G137" s="148" t="s">
        <v>195</v>
      </c>
      <c r="H137" s="148" t="s">
        <v>342</v>
      </c>
      <c r="I137" s="100">
        <f t="shared" si="2"/>
        <v>1226.7485812663319</v>
      </c>
      <c r="J137" s="149">
        <v>100</v>
      </c>
      <c r="K137" s="149">
        <v>100</v>
      </c>
      <c r="L137" s="149">
        <v>100</v>
      </c>
      <c r="M137" s="149">
        <v>100.24181963288109</v>
      </c>
      <c r="N137" s="149">
        <v>101</v>
      </c>
      <c r="O137" s="149">
        <v>101.50039904229848</v>
      </c>
      <c r="P137" s="149">
        <v>102.00151847954291</v>
      </c>
      <c r="Q137" s="149">
        <v>102.00075891873983</v>
      </c>
      <c r="R137" s="149">
        <v>105</v>
      </c>
      <c r="S137" s="149">
        <v>105.00020098516606</v>
      </c>
      <c r="T137" s="149">
        <v>105.00388420770349</v>
      </c>
      <c r="U137" s="149">
        <v>105</v>
      </c>
    </row>
    <row r="138" spans="2:21">
      <c r="B138" s="102" t="s">
        <v>333</v>
      </c>
      <c r="C138" s="148" t="s">
        <v>170</v>
      </c>
      <c r="D138" s="148" t="s">
        <v>167</v>
      </c>
      <c r="E138" s="148" t="s">
        <v>195</v>
      </c>
      <c r="F138" s="148" t="s">
        <v>195</v>
      </c>
      <c r="G138" s="148" t="s">
        <v>195</v>
      </c>
      <c r="H138" s="148" t="s">
        <v>343</v>
      </c>
      <c r="I138" s="100">
        <f t="shared" si="2"/>
        <v>26579.096109647213</v>
      </c>
      <c r="J138" s="149">
        <v>2217</v>
      </c>
      <c r="K138" s="149">
        <v>2217</v>
      </c>
      <c r="L138" s="149">
        <v>2217</v>
      </c>
      <c r="M138" s="149">
        <v>2217</v>
      </c>
      <c r="N138" s="149">
        <v>2214</v>
      </c>
      <c r="O138" s="149">
        <v>2214</v>
      </c>
      <c r="P138" s="149">
        <v>2213.5192391843398</v>
      </c>
      <c r="Q138" s="149">
        <v>2212.9951223781322</v>
      </c>
      <c r="R138" s="149">
        <v>2213</v>
      </c>
      <c r="S138" s="149">
        <v>2213.0015112488759</v>
      </c>
      <c r="T138" s="149">
        <v>2213.2795534645657</v>
      </c>
      <c r="U138" s="149">
        <v>2217.3006833712984</v>
      </c>
    </row>
    <row r="139" spans="2:21">
      <c r="B139" s="102" t="s">
        <v>333</v>
      </c>
      <c r="C139" s="148" t="s">
        <v>170</v>
      </c>
      <c r="D139" s="148" t="s">
        <v>167</v>
      </c>
      <c r="E139" s="148" t="s">
        <v>195</v>
      </c>
      <c r="F139" s="148" t="s">
        <v>195</v>
      </c>
      <c r="G139" s="148" t="s">
        <v>195</v>
      </c>
      <c r="H139" s="148" t="s">
        <v>344</v>
      </c>
      <c r="I139" s="100">
        <f t="shared" si="2"/>
        <v>20543.462638465189</v>
      </c>
      <c r="J139" s="149">
        <v>1709</v>
      </c>
      <c r="K139" s="149">
        <v>1709.7333333333333</v>
      </c>
      <c r="L139" s="149">
        <v>1711</v>
      </c>
      <c r="M139" s="149">
        <v>1711</v>
      </c>
      <c r="N139" s="149">
        <v>1713</v>
      </c>
      <c r="O139" s="149">
        <v>1713</v>
      </c>
      <c r="P139" s="149">
        <v>1712.9986129753916</v>
      </c>
      <c r="Q139" s="149">
        <v>1713.0034601043999</v>
      </c>
      <c r="R139" s="149">
        <v>1713</v>
      </c>
      <c r="S139" s="149">
        <v>1713.000230492848</v>
      </c>
      <c r="T139" s="149">
        <v>1712.7270015592164</v>
      </c>
      <c r="U139" s="149">
        <v>1712</v>
      </c>
    </row>
    <row r="140" spans="2:21">
      <c r="B140" s="102" t="s">
        <v>333</v>
      </c>
      <c r="C140" s="148" t="s">
        <v>170</v>
      </c>
      <c r="D140" s="148" t="s">
        <v>167</v>
      </c>
      <c r="E140" s="148" t="s">
        <v>195</v>
      </c>
      <c r="F140" s="148" t="s">
        <v>195</v>
      </c>
      <c r="G140" s="148" t="s">
        <v>195</v>
      </c>
      <c r="H140" s="148" t="s">
        <v>345</v>
      </c>
      <c r="I140" s="100">
        <f t="shared" si="2"/>
        <v>983.99704050185335</v>
      </c>
      <c r="J140" s="149">
        <v>82</v>
      </c>
      <c r="K140" s="149">
        <v>82</v>
      </c>
      <c r="L140" s="149">
        <v>82</v>
      </c>
      <c r="M140" s="149">
        <v>82</v>
      </c>
      <c r="N140" s="149">
        <v>82</v>
      </c>
      <c r="O140" s="149">
        <v>82</v>
      </c>
      <c r="P140" s="149">
        <v>81.999119835112836</v>
      </c>
      <c r="Q140" s="149">
        <v>81.999270215043282</v>
      </c>
      <c r="R140" s="149">
        <v>81.999999999999986</v>
      </c>
      <c r="S140" s="149">
        <v>81.999426537548388</v>
      </c>
      <c r="T140" s="149">
        <v>81.999223914148843</v>
      </c>
      <c r="U140" s="149">
        <v>82</v>
      </c>
    </row>
    <row r="141" spans="2:21">
      <c r="B141" s="102" t="s">
        <v>333</v>
      </c>
      <c r="C141" s="148" t="s">
        <v>170</v>
      </c>
      <c r="D141" s="148" t="s">
        <v>167</v>
      </c>
      <c r="E141" s="148" t="s">
        <v>195</v>
      </c>
      <c r="F141" s="148" t="s">
        <v>195</v>
      </c>
      <c r="G141" s="148" t="s">
        <v>195</v>
      </c>
      <c r="H141" s="148" t="s">
        <v>346</v>
      </c>
      <c r="I141" s="100">
        <f t="shared" si="2"/>
        <v>18658.617894870746</v>
      </c>
      <c r="J141" s="149">
        <v>1559</v>
      </c>
      <c r="K141" s="149">
        <v>1559</v>
      </c>
      <c r="L141" s="149">
        <v>1559</v>
      </c>
      <c r="M141" s="149">
        <v>1559</v>
      </c>
      <c r="N141" s="149">
        <v>1556</v>
      </c>
      <c r="O141" s="149">
        <v>1555.096837944664</v>
      </c>
      <c r="P141" s="149">
        <v>1554.9988300395257</v>
      </c>
      <c r="Q141" s="149">
        <v>1553.2476521739127</v>
      </c>
      <c r="R141" s="149">
        <v>1552</v>
      </c>
      <c r="S141" s="149">
        <v>1551.9987192118226</v>
      </c>
      <c r="T141" s="149">
        <v>1549.2758555008209</v>
      </c>
      <c r="U141" s="149">
        <v>1550</v>
      </c>
    </row>
    <row r="142" spans="2:21">
      <c r="B142" s="102" t="s">
        <v>333</v>
      </c>
      <c r="C142" s="148" t="s">
        <v>170</v>
      </c>
      <c r="D142" s="148" t="s">
        <v>167</v>
      </c>
      <c r="E142" s="148" t="s">
        <v>195</v>
      </c>
      <c r="F142" s="148" t="s">
        <v>195</v>
      </c>
      <c r="G142" s="148" t="s">
        <v>195</v>
      </c>
      <c r="H142" s="148" t="s">
        <v>347</v>
      </c>
      <c r="I142" s="100">
        <f t="shared" si="2"/>
        <v>2440.0357828284577</v>
      </c>
      <c r="J142" s="149">
        <v>195</v>
      </c>
      <c r="K142" s="149">
        <v>195</v>
      </c>
      <c r="L142" s="149">
        <v>195</v>
      </c>
      <c r="M142" s="149">
        <v>195</v>
      </c>
      <c r="N142" s="149">
        <v>207</v>
      </c>
      <c r="O142" s="149">
        <v>207</v>
      </c>
      <c r="P142" s="149">
        <v>207.00019038124711</v>
      </c>
      <c r="Q142" s="149">
        <v>206.41303730780149</v>
      </c>
      <c r="R142" s="149">
        <v>206</v>
      </c>
      <c r="S142" s="149">
        <v>205.99870162297128</v>
      </c>
      <c r="T142" s="149">
        <v>209.62385351643775</v>
      </c>
      <c r="U142" s="149">
        <v>211</v>
      </c>
    </row>
    <row r="143" spans="2:21">
      <c r="B143" s="102" t="s">
        <v>333</v>
      </c>
      <c r="C143" s="148" t="s">
        <v>170</v>
      </c>
      <c r="D143" s="148" t="s">
        <v>167</v>
      </c>
      <c r="E143" s="148" t="s">
        <v>195</v>
      </c>
      <c r="F143" s="148" t="s">
        <v>195</v>
      </c>
      <c r="G143" s="148" t="s">
        <v>195</v>
      </c>
      <c r="H143" s="148" t="s">
        <v>348</v>
      </c>
      <c r="I143" s="100">
        <f t="shared" si="2"/>
        <v>3095.9975745689503</v>
      </c>
      <c r="J143" s="149">
        <v>258</v>
      </c>
      <c r="K143" s="149">
        <v>258</v>
      </c>
      <c r="L143" s="149">
        <v>258</v>
      </c>
      <c r="M143" s="149">
        <v>258</v>
      </c>
      <c r="N143" s="149">
        <v>258</v>
      </c>
      <c r="O143" s="149">
        <v>258</v>
      </c>
      <c r="P143" s="149">
        <v>257.99910570311198</v>
      </c>
      <c r="Q143" s="149">
        <v>257.99926788130409</v>
      </c>
      <c r="R143" s="149">
        <v>258</v>
      </c>
      <c r="S143" s="149">
        <v>258</v>
      </c>
      <c r="T143" s="149">
        <v>257.99920098453401</v>
      </c>
      <c r="U143" s="149">
        <v>258</v>
      </c>
    </row>
    <row r="144" spans="2:21">
      <c r="B144" s="102" t="s">
        <v>333</v>
      </c>
      <c r="C144" s="148" t="s">
        <v>171</v>
      </c>
      <c r="D144" s="148" t="s">
        <v>5</v>
      </c>
      <c r="E144" s="148" t="s">
        <v>195</v>
      </c>
      <c r="F144" s="148" t="s">
        <v>195</v>
      </c>
      <c r="G144" s="148" t="s">
        <v>195</v>
      </c>
      <c r="H144" s="148" t="s">
        <v>349</v>
      </c>
      <c r="I144" s="100">
        <f t="shared" si="2"/>
        <v>12</v>
      </c>
      <c r="J144" s="149">
        <v>1</v>
      </c>
      <c r="K144" s="149">
        <v>1</v>
      </c>
      <c r="L144" s="149">
        <v>1</v>
      </c>
      <c r="M144" s="149">
        <v>1</v>
      </c>
      <c r="N144" s="149">
        <v>1</v>
      </c>
      <c r="O144" s="149">
        <v>1</v>
      </c>
      <c r="P144" s="149">
        <v>1</v>
      </c>
      <c r="Q144" s="149">
        <v>1</v>
      </c>
      <c r="R144" s="149">
        <v>1</v>
      </c>
      <c r="S144" s="149">
        <v>1</v>
      </c>
      <c r="T144" s="149">
        <v>1</v>
      </c>
      <c r="U144" s="149">
        <v>1</v>
      </c>
    </row>
    <row r="145" spans="2:21">
      <c r="B145" s="102" t="s">
        <v>333</v>
      </c>
      <c r="C145" s="148" t="s">
        <v>171</v>
      </c>
      <c r="D145" s="148" t="s">
        <v>5</v>
      </c>
      <c r="E145" s="148" t="s">
        <v>195</v>
      </c>
      <c r="F145" s="148" t="s">
        <v>195</v>
      </c>
      <c r="G145" s="148" t="s">
        <v>195</v>
      </c>
      <c r="H145" s="148" t="s">
        <v>350</v>
      </c>
      <c r="I145" s="100">
        <f t="shared" si="2"/>
        <v>79</v>
      </c>
      <c r="J145" s="149">
        <v>7</v>
      </c>
      <c r="K145" s="149">
        <v>7</v>
      </c>
      <c r="L145" s="149">
        <v>7</v>
      </c>
      <c r="M145" s="149">
        <v>7</v>
      </c>
      <c r="N145" s="149">
        <v>7</v>
      </c>
      <c r="O145" s="149">
        <v>7</v>
      </c>
      <c r="P145" s="149">
        <v>7</v>
      </c>
      <c r="Q145" s="149">
        <v>6</v>
      </c>
      <c r="R145" s="149">
        <v>6</v>
      </c>
      <c r="S145" s="149">
        <v>6</v>
      </c>
      <c r="T145" s="149">
        <v>6</v>
      </c>
      <c r="U145" s="149">
        <v>6</v>
      </c>
    </row>
    <row r="146" spans="2:21">
      <c r="B146" s="102" t="s">
        <v>333</v>
      </c>
      <c r="C146" s="148" t="s">
        <v>171</v>
      </c>
      <c r="D146" s="148" t="s">
        <v>5</v>
      </c>
      <c r="E146" s="148" t="s">
        <v>195</v>
      </c>
      <c r="F146" s="148" t="s">
        <v>199</v>
      </c>
      <c r="G146" s="148" t="s">
        <v>195</v>
      </c>
      <c r="H146" s="148" t="s">
        <v>335</v>
      </c>
      <c r="I146" s="100">
        <f t="shared" si="2"/>
        <v>138.90042674253201</v>
      </c>
      <c r="J146" s="149">
        <v>12</v>
      </c>
      <c r="K146" s="149">
        <v>12</v>
      </c>
      <c r="L146" s="149">
        <v>12</v>
      </c>
      <c r="M146" s="149">
        <v>12</v>
      </c>
      <c r="N146" s="149">
        <v>12</v>
      </c>
      <c r="O146" s="149">
        <v>12</v>
      </c>
      <c r="P146" s="149">
        <v>11.900426742532005</v>
      </c>
      <c r="Q146" s="149">
        <v>11</v>
      </c>
      <c r="R146" s="149">
        <v>11</v>
      </c>
      <c r="S146" s="149">
        <v>11</v>
      </c>
      <c r="T146" s="149">
        <v>11</v>
      </c>
      <c r="U146" s="149">
        <v>11</v>
      </c>
    </row>
    <row r="147" spans="2:21">
      <c r="B147" s="150" t="s">
        <v>333</v>
      </c>
      <c r="C147" s="151" t="s">
        <v>171</v>
      </c>
      <c r="D147" s="151" t="s">
        <v>5</v>
      </c>
      <c r="E147" s="151" t="s">
        <v>195</v>
      </c>
      <c r="F147" s="151" t="s">
        <v>200</v>
      </c>
      <c r="G147" s="151" t="s">
        <v>195</v>
      </c>
      <c r="H147" s="151" t="s">
        <v>335</v>
      </c>
      <c r="I147" s="152">
        <f t="shared" ref="I147:I187" si="3">SUM(J147:U147)</f>
        <v>168</v>
      </c>
      <c r="J147" s="153">
        <v>14</v>
      </c>
      <c r="K147" s="153">
        <v>14</v>
      </c>
      <c r="L147" s="153">
        <v>14</v>
      </c>
      <c r="M147" s="153">
        <v>14</v>
      </c>
      <c r="N147" s="153">
        <v>14</v>
      </c>
      <c r="O147" s="153">
        <v>14</v>
      </c>
      <c r="P147" s="153">
        <v>14</v>
      </c>
      <c r="Q147" s="153">
        <v>14</v>
      </c>
      <c r="R147" s="153">
        <v>14</v>
      </c>
      <c r="S147" s="153">
        <v>14</v>
      </c>
      <c r="T147" s="153">
        <v>14</v>
      </c>
      <c r="U147" s="153">
        <v>14</v>
      </c>
    </row>
    <row r="148" spans="2:21">
      <c r="B148" s="145"/>
      <c r="C148" s="146"/>
      <c r="D148" s="146"/>
      <c r="E148" s="146"/>
      <c r="F148" s="146"/>
      <c r="G148" s="146"/>
      <c r="H148" s="146"/>
      <c r="I148" s="14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</row>
    <row r="149" spans="2:21">
      <c r="B149" s="102" t="s">
        <v>356</v>
      </c>
      <c r="C149" s="148" t="s">
        <v>422</v>
      </c>
      <c r="D149" s="148" t="s">
        <v>4</v>
      </c>
      <c r="E149" s="148" t="s">
        <v>195</v>
      </c>
      <c r="F149" s="148" t="s">
        <v>195</v>
      </c>
      <c r="G149" s="148" t="s">
        <v>195</v>
      </c>
      <c r="H149" s="101" t="s">
        <v>197</v>
      </c>
      <c r="I149" s="100">
        <f t="shared" si="3"/>
        <v>720685046.35999298</v>
      </c>
      <c r="J149" s="149">
        <v>61286809.289050356</v>
      </c>
      <c r="K149" s="149">
        <v>61387093.121732704</v>
      </c>
      <c r="L149" s="149">
        <v>58315334.763820373</v>
      </c>
      <c r="M149" s="149">
        <v>56417442.121799119</v>
      </c>
      <c r="N149" s="149">
        <v>59559959.154200256</v>
      </c>
      <c r="O149" s="149">
        <v>62301561.448207028</v>
      </c>
      <c r="P149" s="149">
        <v>63461428.982384272</v>
      </c>
      <c r="Q149" s="149">
        <v>62451157.372028664</v>
      </c>
      <c r="R149" s="149">
        <v>61302343.107085414</v>
      </c>
      <c r="S149" s="149">
        <v>59500841.694377862</v>
      </c>
      <c r="T149" s="149">
        <v>58267123.927233681</v>
      </c>
      <c r="U149" s="149">
        <v>56433951.378073171</v>
      </c>
    </row>
    <row r="150" spans="2:21">
      <c r="B150" s="102" t="s">
        <v>356</v>
      </c>
      <c r="C150" s="148" t="s">
        <v>422</v>
      </c>
      <c r="D150" s="148" t="s">
        <v>4</v>
      </c>
      <c r="E150" s="148" t="s">
        <v>195</v>
      </c>
      <c r="F150" s="148" t="s">
        <v>195</v>
      </c>
      <c r="G150" s="148" t="s">
        <v>195</v>
      </c>
      <c r="H150" s="101" t="s">
        <v>198</v>
      </c>
      <c r="I150" s="100">
        <f t="shared" si="3"/>
        <v>916418564.89516139</v>
      </c>
      <c r="J150" s="149">
        <v>85940142.427093118</v>
      </c>
      <c r="K150" s="149">
        <v>80717428.538112745</v>
      </c>
      <c r="L150" s="149">
        <v>46287964.206348084</v>
      </c>
      <c r="M150" s="149">
        <v>33892787.591927342</v>
      </c>
      <c r="N150" s="149">
        <v>60321878.929026678</v>
      </c>
      <c r="O150" s="149">
        <v>106632434.83124948</v>
      </c>
      <c r="P150" s="149">
        <v>162289834.52360195</v>
      </c>
      <c r="Q150" s="149">
        <v>120489134.65275899</v>
      </c>
      <c r="R150" s="149">
        <v>83675244.595027789</v>
      </c>
      <c r="S150" s="149">
        <v>56365760.197264336</v>
      </c>
      <c r="T150" s="149">
        <v>45825335.473230891</v>
      </c>
      <c r="U150" s="149">
        <v>33980618.929520011</v>
      </c>
    </row>
    <row r="151" spans="2:21">
      <c r="B151" s="102" t="s">
        <v>356</v>
      </c>
      <c r="C151" s="148" t="s">
        <v>229</v>
      </c>
      <c r="D151" s="148" t="s">
        <v>4</v>
      </c>
      <c r="E151" s="148" t="s">
        <v>195</v>
      </c>
      <c r="F151" s="148" t="s">
        <v>195</v>
      </c>
      <c r="G151" s="148" t="s">
        <v>195</v>
      </c>
      <c r="H151" s="148" t="s">
        <v>197</v>
      </c>
      <c r="I151" s="100">
        <f t="shared" si="3"/>
        <v>13566732.250124412</v>
      </c>
      <c r="J151" s="149">
        <v>1225169.9524731559</v>
      </c>
      <c r="K151" s="149">
        <v>1211890.424221087</v>
      </c>
      <c r="L151" s="149">
        <v>1094737.3701813056</v>
      </c>
      <c r="M151" s="149">
        <v>980881.71096637845</v>
      </c>
      <c r="N151" s="149">
        <v>997309.62858651567</v>
      </c>
      <c r="O151" s="149">
        <v>1172583.1719767647</v>
      </c>
      <c r="P151" s="149">
        <v>1414354.4189865505</v>
      </c>
      <c r="Q151" s="149">
        <v>1293451.5874821479</v>
      </c>
      <c r="R151" s="149">
        <v>1147041.5148013157</v>
      </c>
      <c r="S151" s="149">
        <v>1017514.8013156732</v>
      </c>
      <c r="T151" s="149">
        <v>999767.18380711973</v>
      </c>
      <c r="U151" s="149">
        <v>1012030.4853263962</v>
      </c>
    </row>
    <row r="152" spans="2:21">
      <c r="B152" s="102" t="s">
        <v>356</v>
      </c>
      <c r="C152" s="148" t="s">
        <v>229</v>
      </c>
      <c r="D152" s="148" t="s">
        <v>4</v>
      </c>
      <c r="E152" s="148" t="s">
        <v>195</v>
      </c>
      <c r="F152" s="148" t="s">
        <v>195</v>
      </c>
      <c r="G152" s="148" t="s">
        <v>195</v>
      </c>
      <c r="H152" s="148" t="s">
        <v>198</v>
      </c>
      <c r="I152" s="100">
        <f t="shared" si="3"/>
        <v>7107440.1776486794</v>
      </c>
      <c r="J152" s="149">
        <v>721533.11216026545</v>
      </c>
      <c r="K152" s="149">
        <v>720161.66900599725</v>
      </c>
      <c r="L152" s="149">
        <v>535527.88056654343</v>
      </c>
      <c r="M152" s="149">
        <v>396203.13895623334</v>
      </c>
      <c r="N152" s="149">
        <v>414101.69707796362</v>
      </c>
      <c r="O152" s="149">
        <v>666403.98111522268</v>
      </c>
      <c r="P152" s="149">
        <v>1029284.9326056727</v>
      </c>
      <c r="Q152" s="149">
        <v>816093.40368263319</v>
      </c>
      <c r="R152" s="149">
        <v>577952.74469186959</v>
      </c>
      <c r="S152" s="149">
        <v>413350.9839461419</v>
      </c>
      <c r="T152" s="149">
        <v>405403.43420476827</v>
      </c>
      <c r="U152" s="149">
        <v>411423.19963536918</v>
      </c>
    </row>
    <row r="153" spans="2:21">
      <c r="B153" s="102" t="s">
        <v>356</v>
      </c>
      <c r="C153" s="148" t="s">
        <v>229</v>
      </c>
      <c r="D153" s="148" t="s">
        <v>4</v>
      </c>
      <c r="E153" s="148" t="s">
        <v>195</v>
      </c>
      <c r="F153" s="148" t="s">
        <v>195</v>
      </c>
      <c r="G153" s="148" t="s">
        <v>195</v>
      </c>
      <c r="H153" s="148" t="s">
        <v>282</v>
      </c>
      <c r="I153" s="100">
        <f t="shared" si="3"/>
        <v>930206.40963127534</v>
      </c>
      <c r="J153" s="149">
        <v>104308.77528704208</v>
      </c>
      <c r="K153" s="149">
        <v>105025.15035538544</v>
      </c>
      <c r="L153" s="149">
        <v>75749.863313285954</v>
      </c>
      <c r="M153" s="149">
        <v>53117.140513942039</v>
      </c>
      <c r="N153" s="149">
        <v>48619.874248223066</v>
      </c>
      <c r="O153" s="149">
        <v>79720.065609622747</v>
      </c>
      <c r="P153" s="149">
        <v>163879.98906506287</v>
      </c>
      <c r="Q153" s="149">
        <v>123726.67695413042</v>
      </c>
      <c r="R153" s="149">
        <v>63235.040955157572</v>
      </c>
      <c r="S153" s="149">
        <v>38770.789948632519</v>
      </c>
      <c r="T153" s="149">
        <v>38559.039746629562</v>
      </c>
      <c r="U153" s="149">
        <v>35494.003634161112</v>
      </c>
    </row>
    <row r="154" spans="2:21">
      <c r="B154" s="102" t="s">
        <v>356</v>
      </c>
      <c r="C154" s="148" t="s">
        <v>229</v>
      </c>
      <c r="D154" s="148" t="s">
        <v>5</v>
      </c>
      <c r="E154" s="148" t="s">
        <v>195</v>
      </c>
      <c r="F154" s="148" t="s">
        <v>195</v>
      </c>
      <c r="G154" s="148" t="s">
        <v>195</v>
      </c>
      <c r="H154" s="148" t="s">
        <v>197</v>
      </c>
      <c r="I154" s="100">
        <f t="shared" si="3"/>
        <v>124967365.13654114</v>
      </c>
      <c r="J154" s="149">
        <v>10563023.939447267</v>
      </c>
      <c r="K154" s="149">
        <v>10608230.681218095</v>
      </c>
      <c r="L154" s="149">
        <v>10139222.672064785</v>
      </c>
      <c r="M154" s="149">
        <v>9775471.4838936813</v>
      </c>
      <c r="N154" s="149">
        <v>10154307.340256989</v>
      </c>
      <c r="O154" s="149">
        <v>10828920.348530179</v>
      </c>
      <c r="P154" s="149">
        <v>11293693.426781008</v>
      </c>
      <c r="Q154" s="149">
        <v>10962168.356939811</v>
      </c>
      <c r="R154" s="149">
        <v>10613206.136174142</v>
      </c>
      <c r="S154" s="149">
        <v>10234340.024877066</v>
      </c>
      <c r="T154" s="149">
        <v>10017866.173930328</v>
      </c>
      <c r="U154" s="149">
        <v>9776914.5524277836</v>
      </c>
    </row>
    <row r="155" spans="2:21">
      <c r="B155" s="102" t="s">
        <v>356</v>
      </c>
      <c r="C155" s="148" t="s">
        <v>229</v>
      </c>
      <c r="D155" s="148" t="s">
        <v>5</v>
      </c>
      <c r="E155" s="148" t="s">
        <v>195</v>
      </c>
      <c r="F155" s="148" t="s">
        <v>195</v>
      </c>
      <c r="G155" s="148" t="s">
        <v>195</v>
      </c>
      <c r="H155" s="148" t="s">
        <v>198</v>
      </c>
      <c r="I155" s="100">
        <f t="shared" si="3"/>
        <v>273578624.4422645</v>
      </c>
      <c r="J155" s="149">
        <v>26291703.075156324</v>
      </c>
      <c r="K155" s="149">
        <v>26781846.752583895</v>
      </c>
      <c r="L155" s="149">
        <v>22878136.149036635</v>
      </c>
      <c r="M155" s="149">
        <v>19989234.018119175</v>
      </c>
      <c r="N155" s="149">
        <v>20473396.835523792</v>
      </c>
      <c r="O155" s="149">
        <v>24114729.105525091</v>
      </c>
      <c r="P155" s="149">
        <v>27408871.901879344</v>
      </c>
      <c r="Q155" s="149">
        <v>24705426.845474713</v>
      </c>
      <c r="R155" s="149">
        <v>22100276.022786152</v>
      </c>
      <c r="S155" s="149">
        <v>20003115.484205071</v>
      </c>
      <c r="T155" s="149">
        <v>19344858.216667831</v>
      </c>
      <c r="U155" s="149">
        <v>19487030.035306502</v>
      </c>
    </row>
    <row r="156" spans="2:21">
      <c r="B156" s="102" t="s">
        <v>356</v>
      </c>
      <c r="C156" s="148" t="s">
        <v>229</v>
      </c>
      <c r="D156" s="148" t="s">
        <v>5</v>
      </c>
      <c r="E156" s="148" t="s">
        <v>195</v>
      </c>
      <c r="F156" s="148" t="s">
        <v>195</v>
      </c>
      <c r="G156" s="148" t="s">
        <v>195</v>
      </c>
      <c r="H156" s="148" t="s">
        <v>282</v>
      </c>
      <c r="I156" s="100">
        <f t="shared" si="3"/>
        <v>109715019.69276887</v>
      </c>
      <c r="J156" s="149">
        <v>13318021.186440673</v>
      </c>
      <c r="K156" s="149">
        <v>14095974.986331327</v>
      </c>
      <c r="L156" s="149">
        <v>10260102.651722256</v>
      </c>
      <c r="M156" s="149">
        <v>8413040.8693275023</v>
      </c>
      <c r="N156" s="149">
        <v>7635915.5276107145</v>
      </c>
      <c r="O156" s="149">
        <v>9603262.985237835</v>
      </c>
      <c r="P156" s="149">
        <v>10907862.963248031</v>
      </c>
      <c r="Q156" s="149">
        <v>8541454.8928719983</v>
      </c>
      <c r="R156" s="149">
        <v>7157181.5910037514</v>
      </c>
      <c r="S156" s="149">
        <v>6299847.0081910305</v>
      </c>
      <c r="T156" s="149">
        <v>6227757.211280413</v>
      </c>
      <c r="U156" s="149">
        <v>7254597.8195033306</v>
      </c>
    </row>
    <row r="157" spans="2:21">
      <c r="B157" s="102" t="s">
        <v>356</v>
      </c>
      <c r="C157" s="148" t="s">
        <v>229</v>
      </c>
      <c r="D157" s="148" t="s">
        <v>7</v>
      </c>
      <c r="E157" s="148" t="s">
        <v>195</v>
      </c>
      <c r="F157" s="148" t="s">
        <v>195</v>
      </c>
      <c r="G157" s="148" t="s">
        <v>195</v>
      </c>
      <c r="H157" s="148" t="s">
        <v>197</v>
      </c>
      <c r="I157" s="100">
        <f t="shared" si="3"/>
        <v>2936892.8839031216</v>
      </c>
      <c r="J157" s="149">
        <v>252888.57595493749</v>
      </c>
      <c r="K157" s="149">
        <v>251012.23376166172</v>
      </c>
      <c r="L157" s="149">
        <v>244532.12462594616</v>
      </c>
      <c r="M157" s="149">
        <v>235201.28498503787</v>
      </c>
      <c r="N157" s="149">
        <v>240304.78788945609</v>
      </c>
      <c r="O157" s="149">
        <v>252332.95194508013</v>
      </c>
      <c r="P157" s="149">
        <v>256061.40364699674</v>
      </c>
      <c r="Q157" s="149">
        <v>251647.03726368514</v>
      </c>
      <c r="R157" s="149">
        <v>243442.17263756771</v>
      </c>
      <c r="S157" s="149">
        <v>237335.05200462262</v>
      </c>
      <c r="T157" s="149">
        <v>236901.7009408325</v>
      </c>
      <c r="U157" s="149">
        <v>235233.55824729701</v>
      </c>
    </row>
    <row r="158" spans="2:21">
      <c r="B158" s="102" t="s">
        <v>356</v>
      </c>
      <c r="C158" s="148" t="s">
        <v>229</v>
      </c>
      <c r="D158" s="148" t="s">
        <v>7</v>
      </c>
      <c r="E158" s="148" t="s">
        <v>195</v>
      </c>
      <c r="F158" s="148" t="s">
        <v>195</v>
      </c>
      <c r="G158" s="148" t="s">
        <v>195</v>
      </c>
      <c r="H158" s="148" t="s">
        <v>198</v>
      </c>
      <c r="I158" s="100">
        <f t="shared" si="3"/>
        <v>8697585.3458522987</v>
      </c>
      <c r="J158" s="149">
        <v>752125.68584917695</v>
      </c>
      <c r="K158" s="149">
        <v>760075.92190889374</v>
      </c>
      <c r="L158" s="149">
        <v>692491.76980987634</v>
      </c>
      <c r="M158" s="149">
        <v>643649.22802092636</v>
      </c>
      <c r="N158" s="149">
        <v>684944.74926630082</v>
      </c>
      <c r="O158" s="149">
        <v>794939.00727319124</v>
      </c>
      <c r="P158" s="149">
        <v>885341.76161930081</v>
      </c>
      <c r="Q158" s="149">
        <v>813995.35416953149</v>
      </c>
      <c r="R158" s="149">
        <v>745667.27084412193</v>
      </c>
      <c r="S158" s="149">
        <v>675856.42154324171</v>
      </c>
      <c r="T158" s="149">
        <v>642916.47545657924</v>
      </c>
      <c r="U158" s="149">
        <v>605581.70009115746</v>
      </c>
    </row>
    <row r="159" spans="2:21">
      <c r="B159" s="102" t="s">
        <v>356</v>
      </c>
      <c r="C159" s="148" t="s">
        <v>229</v>
      </c>
      <c r="D159" s="148" t="s">
        <v>7</v>
      </c>
      <c r="E159" s="148" t="s">
        <v>195</v>
      </c>
      <c r="F159" s="148" t="s">
        <v>195</v>
      </c>
      <c r="G159" s="148" t="s">
        <v>195</v>
      </c>
      <c r="H159" s="148" t="s">
        <v>282</v>
      </c>
      <c r="I159" s="100">
        <f t="shared" si="3"/>
        <v>3467787.0508055836</v>
      </c>
      <c r="J159" s="149">
        <v>297350.05467468564</v>
      </c>
      <c r="K159" s="149">
        <v>326696.00874794973</v>
      </c>
      <c r="L159" s="149">
        <v>305237.01476216514</v>
      </c>
      <c r="M159" s="149">
        <v>276133.8162930563</v>
      </c>
      <c r="N159" s="149">
        <v>260851.14816839801</v>
      </c>
      <c r="O159" s="149">
        <v>377989.20174958993</v>
      </c>
      <c r="P159" s="149">
        <v>438098.00367184961</v>
      </c>
      <c r="Q159" s="149">
        <v>317082.05197366659</v>
      </c>
      <c r="R159" s="149">
        <v>236600.02776620854</v>
      </c>
      <c r="S159" s="149">
        <v>216683.18756073859</v>
      </c>
      <c r="T159" s="149">
        <v>195566.35372921964</v>
      </c>
      <c r="U159" s="149">
        <v>219500.18170805572</v>
      </c>
    </row>
    <row r="160" spans="2:21">
      <c r="B160" s="102" t="s">
        <v>356</v>
      </c>
      <c r="C160" s="148" t="s">
        <v>279</v>
      </c>
      <c r="D160" s="148" t="s">
        <v>4</v>
      </c>
      <c r="E160" s="148" t="s">
        <v>176</v>
      </c>
      <c r="F160" s="148" t="s">
        <v>195</v>
      </c>
      <c r="G160" s="148" t="s">
        <v>195</v>
      </c>
      <c r="H160" s="148" t="s">
        <v>197</v>
      </c>
      <c r="I160" s="100">
        <f t="shared" si="3"/>
        <v>1479518.9669764682</v>
      </c>
      <c r="J160" s="149">
        <v>107839.97997663941</v>
      </c>
      <c r="K160" s="149">
        <v>110079.92658101118</v>
      </c>
      <c r="L160" s="149">
        <v>96480.060070081759</v>
      </c>
      <c r="M160" s="149">
        <v>87839.979976639414</v>
      </c>
      <c r="N160" s="149">
        <v>91440.013348907058</v>
      </c>
      <c r="O160" s="149">
        <v>112160.02002336059</v>
      </c>
      <c r="P160" s="149">
        <v>160000</v>
      </c>
      <c r="Q160" s="149">
        <v>159998.97441116284</v>
      </c>
      <c r="R160" s="149">
        <v>166320.07479177293</v>
      </c>
      <c r="S160" s="149">
        <v>134799.93200747919</v>
      </c>
      <c r="T160" s="149">
        <v>129600.09230707766</v>
      </c>
      <c r="U160" s="149">
        <v>122959.91348233599</v>
      </c>
    </row>
    <row r="161" spans="2:21">
      <c r="B161" s="102" t="s">
        <v>356</v>
      </c>
      <c r="C161" s="148" t="s">
        <v>279</v>
      </c>
      <c r="D161" s="148" t="s">
        <v>4</v>
      </c>
      <c r="E161" s="148" t="s">
        <v>176</v>
      </c>
      <c r="F161" s="148" t="s">
        <v>195</v>
      </c>
      <c r="G161" s="148" t="s">
        <v>195</v>
      </c>
      <c r="H161" s="148" t="s">
        <v>198</v>
      </c>
      <c r="I161" s="100">
        <f t="shared" si="3"/>
        <v>811580.59804120462</v>
      </c>
      <c r="J161" s="149">
        <v>43059.916226552537</v>
      </c>
      <c r="K161" s="149">
        <v>35199.963576761977</v>
      </c>
      <c r="L161" s="149">
        <v>36199.963576761977</v>
      </c>
      <c r="M161" s="149">
        <v>30199.963576761973</v>
      </c>
      <c r="N161" s="149">
        <v>60800.036423238031</v>
      </c>
      <c r="O161" s="149">
        <v>101979.96721908577</v>
      </c>
      <c r="P161" s="149">
        <v>150899.83609542888</v>
      </c>
      <c r="Q161" s="149">
        <v>94440.96360684956</v>
      </c>
      <c r="R161" s="149">
        <v>81199.962832187332</v>
      </c>
      <c r="S161" s="149">
        <v>69800.037167812683</v>
      </c>
      <c r="T161" s="149">
        <v>63799.987739763965</v>
      </c>
      <c r="U161" s="149">
        <v>44000</v>
      </c>
    </row>
    <row r="162" spans="2:21">
      <c r="B162" s="102" t="s">
        <v>356</v>
      </c>
      <c r="C162" s="148" t="s">
        <v>279</v>
      </c>
      <c r="D162" s="148" t="s">
        <v>5</v>
      </c>
      <c r="E162" s="148" t="s">
        <v>176</v>
      </c>
      <c r="F162" s="148" t="s">
        <v>195</v>
      </c>
      <c r="G162" s="148" t="s">
        <v>195</v>
      </c>
      <c r="H162" s="148" t="s">
        <v>197</v>
      </c>
      <c r="I162" s="100">
        <f t="shared" si="3"/>
        <v>366850889.9658466</v>
      </c>
      <c r="J162" s="149">
        <v>30180930.585683282</v>
      </c>
      <c r="K162" s="149">
        <v>30728474.386784591</v>
      </c>
      <c r="L162" s="149">
        <v>31804770.565659922</v>
      </c>
      <c r="M162" s="149">
        <v>31748248.289671302</v>
      </c>
      <c r="N162" s="149">
        <v>30800496.746203922</v>
      </c>
      <c r="O162" s="149">
        <v>31340772.567995992</v>
      </c>
      <c r="P162" s="149">
        <v>31637669.381914467</v>
      </c>
      <c r="Q162" s="149">
        <v>30896705.493510351</v>
      </c>
      <c r="R162" s="149">
        <v>30191217.979692362</v>
      </c>
      <c r="S162" s="149">
        <v>29281518.739001863</v>
      </c>
      <c r="T162" s="149">
        <v>29059850.814688381</v>
      </c>
      <c r="U162" s="149">
        <v>29180234.415040199</v>
      </c>
    </row>
    <row r="163" spans="2:21">
      <c r="B163" s="102" t="s">
        <v>356</v>
      </c>
      <c r="C163" s="148" t="s">
        <v>279</v>
      </c>
      <c r="D163" s="148" t="s">
        <v>5</v>
      </c>
      <c r="E163" s="148" t="s">
        <v>176</v>
      </c>
      <c r="F163" s="148" t="s">
        <v>195</v>
      </c>
      <c r="G163" s="148" t="s">
        <v>195</v>
      </c>
      <c r="H163" s="148" t="s">
        <v>198</v>
      </c>
      <c r="I163" s="100">
        <f t="shared" si="3"/>
        <v>459673216.13885874</v>
      </c>
      <c r="J163" s="149">
        <v>42401694.95538152</v>
      </c>
      <c r="K163" s="149">
        <v>42812765.25223095</v>
      </c>
      <c r="L163" s="149">
        <v>43345509.925332375</v>
      </c>
      <c r="M163" s="149">
        <v>44889020.76124569</v>
      </c>
      <c r="N163" s="149">
        <v>42509251.68457476</v>
      </c>
      <c r="O163" s="149">
        <v>43237704.061191022</v>
      </c>
      <c r="P163" s="149">
        <v>40528359.636696324</v>
      </c>
      <c r="Q163" s="149">
        <v>35206610.12213362</v>
      </c>
      <c r="R163" s="149">
        <v>32682223.167859327</v>
      </c>
      <c r="S163" s="149">
        <v>30306793.917341132</v>
      </c>
      <c r="T163" s="149">
        <v>29506019.501333196</v>
      </c>
      <c r="U163" s="149">
        <v>32247263.153538905</v>
      </c>
    </row>
    <row r="164" spans="2:21">
      <c r="B164" s="102" t="s">
        <v>356</v>
      </c>
      <c r="C164" s="148" t="s">
        <v>279</v>
      </c>
      <c r="D164" s="148" t="s">
        <v>5</v>
      </c>
      <c r="E164" s="148" t="s">
        <v>177</v>
      </c>
      <c r="F164" s="148" t="s">
        <v>195</v>
      </c>
      <c r="G164" s="148" t="s">
        <v>195</v>
      </c>
      <c r="H164" s="148" t="s">
        <v>197</v>
      </c>
      <c r="I164" s="100">
        <f t="shared" si="3"/>
        <v>3617831.4520378858</v>
      </c>
      <c r="J164" s="149">
        <v>281440.01334890706</v>
      </c>
      <c r="K164" s="149">
        <v>282000</v>
      </c>
      <c r="L164" s="149">
        <v>296159.85316202237</v>
      </c>
      <c r="M164" s="149">
        <v>315559.98665109294</v>
      </c>
      <c r="N164" s="149">
        <v>326199.89988319704</v>
      </c>
      <c r="O164" s="149">
        <v>309079.92658101115</v>
      </c>
      <c r="P164" s="149">
        <v>308480.06307659234</v>
      </c>
      <c r="Q164" s="149">
        <v>308316.05046388332</v>
      </c>
      <c r="R164" s="149">
        <v>299640.1495835458</v>
      </c>
      <c r="S164" s="149">
        <v>282879.99320074788</v>
      </c>
      <c r="T164" s="149">
        <v>330235.5737653285</v>
      </c>
      <c r="U164" s="149">
        <v>277839.94232155732</v>
      </c>
    </row>
    <row r="165" spans="2:21">
      <c r="B165" s="102" t="s">
        <v>356</v>
      </c>
      <c r="C165" s="148" t="s">
        <v>279</v>
      </c>
      <c r="D165" s="148" t="s">
        <v>5</v>
      </c>
      <c r="E165" s="148" t="s">
        <v>177</v>
      </c>
      <c r="F165" s="148" t="s">
        <v>195</v>
      </c>
      <c r="G165" s="148" t="s">
        <v>195</v>
      </c>
      <c r="H165" s="148" t="s">
        <v>198</v>
      </c>
      <c r="I165" s="100">
        <f t="shared" si="3"/>
        <v>6665225.9040677128</v>
      </c>
      <c r="J165" s="149">
        <v>628419.95993443811</v>
      </c>
      <c r="K165" s="149">
        <v>729300.1274813331</v>
      </c>
      <c r="L165" s="149">
        <v>676079.94900746667</v>
      </c>
      <c r="M165" s="149">
        <v>562560.18940083764</v>
      </c>
      <c r="N165" s="149">
        <v>589560.18940083776</v>
      </c>
      <c r="O165" s="149">
        <v>597519.94172281912</v>
      </c>
      <c r="P165" s="149">
        <v>599599.8907302859</v>
      </c>
      <c r="Q165" s="149">
        <v>518603.6831197245</v>
      </c>
      <c r="R165" s="149">
        <v>444459.95168184349</v>
      </c>
      <c r="S165" s="149">
        <v>422559.9330979372</v>
      </c>
      <c r="T165" s="149">
        <v>487082.06361843419</v>
      </c>
      <c r="U165" s="149">
        <v>409480.02487175498</v>
      </c>
    </row>
    <row r="166" spans="2:21">
      <c r="B166" s="102" t="s">
        <v>356</v>
      </c>
      <c r="C166" s="148" t="s">
        <v>279</v>
      </c>
      <c r="D166" s="148" t="s">
        <v>7</v>
      </c>
      <c r="E166" s="148" t="s">
        <v>176</v>
      </c>
      <c r="F166" s="148" t="s">
        <v>195</v>
      </c>
      <c r="G166" s="148" t="s">
        <v>195</v>
      </c>
      <c r="H166" s="148" t="s">
        <v>197</v>
      </c>
      <c r="I166" s="100">
        <f t="shared" si="3"/>
        <v>34551148.671501786</v>
      </c>
      <c r="J166" s="149">
        <v>2936839.479392624</v>
      </c>
      <c r="K166" s="149">
        <v>2966379.6095444681</v>
      </c>
      <c r="L166" s="149">
        <v>3054000.1668613381</v>
      </c>
      <c r="M166" s="149">
        <v>3262440.1802102453</v>
      </c>
      <c r="N166" s="149">
        <v>2912459.8698481573</v>
      </c>
      <c r="O166" s="149">
        <v>2878620.0567328553</v>
      </c>
      <c r="P166" s="149">
        <v>2757495.5424084053</v>
      </c>
      <c r="Q166" s="149">
        <v>2776444.5634757914</v>
      </c>
      <c r="R166" s="149">
        <v>2760980.1121876589</v>
      </c>
      <c r="S166" s="149">
        <v>2738139.7246302902</v>
      </c>
      <c r="T166" s="149">
        <v>2772709.1354961772</v>
      </c>
      <c r="U166" s="149">
        <v>2734640.2307137721</v>
      </c>
    </row>
    <row r="167" spans="2:21">
      <c r="B167" s="102" t="s">
        <v>356</v>
      </c>
      <c r="C167" s="148" t="s">
        <v>279</v>
      </c>
      <c r="D167" s="148" t="s">
        <v>7</v>
      </c>
      <c r="E167" s="148" t="s">
        <v>176</v>
      </c>
      <c r="F167" s="148" t="s">
        <v>195</v>
      </c>
      <c r="G167" s="148" t="s">
        <v>195</v>
      </c>
      <c r="H167" s="148" t="s">
        <v>198</v>
      </c>
      <c r="I167" s="100">
        <f t="shared" si="3"/>
        <v>52700866.28859859</v>
      </c>
      <c r="J167" s="149">
        <v>4514520.1238390096</v>
      </c>
      <c r="K167" s="149">
        <v>4705560.5536332168</v>
      </c>
      <c r="L167" s="149">
        <v>4810940.4480058271</v>
      </c>
      <c r="M167" s="149">
        <v>5712160.8085958855</v>
      </c>
      <c r="N167" s="149">
        <v>4679039.7013294464</v>
      </c>
      <c r="O167" s="149">
        <v>4530439.6284829723</v>
      </c>
      <c r="P167" s="149">
        <v>3817144.3666615882</v>
      </c>
      <c r="Q167" s="149">
        <v>3952731.3813609476</v>
      </c>
      <c r="R167" s="149">
        <v>4247080.0966363121</v>
      </c>
      <c r="S167" s="149">
        <v>4082599.7026574984</v>
      </c>
      <c r="T167" s="149">
        <v>3878988.9768518135</v>
      </c>
      <c r="U167" s="149">
        <v>3769660.5005440703</v>
      </c>
    </row>
    <row r="168" spans="2:21">
      <c r="B168" s="102" t="s">
        <v>356</v>
      </c>
      <c r="C168" s="148" t="s">
        <v>279</v>
      </c>
      <c r="D168" s="148" t="s">
        <v>7</v>
      </c>
      <c r="E168" s="148" t="s">
        <v>177</v>
      </c>
      <c r="F168" s="148" t="s">
        <v>195</v>
      </c>
      <c r="G168" s="148" t="s">
        <v>195</v>
      </c>
      <c r="H168" s="148" t="s">
        <v>197</v>
      </c>
      <c r="I168" s="100">
        <f t="shared" si="3"/>
        <v>176399.85621714281</v>
      </c>
      <c r="J168" s="149">
        <v>0</v>
      </c>
      <c r="K168" s="149">
        <v>0</v>
      </c>
      <c r="L168" s="149">
        <v>9600.033372267646</v>
      </c>
      <c r="M168" s="149">
        <v>16799.933255464712</v>
      </c>
      <c r="N168" s="149">
        <v>20399.966627732356</v>
      </c>
      <c r="O168" s="149">
        <v>20399.966627732356</v>
      </c>
      <c r="P168" s="149">
        <v>21600.033372267648</v>
      </c>
      <c r="Q168" s="149">
        <v>21600.004753690344</v>
      </c>
      <c r="R168" s="149">
        <v>18000</v>
      </c>
      <c r="S168" s="149">
        <v>16799.932007479179</v>
      </c>
      <c r="T168" s="149">
        <v>14399.986200508571</v>
      </c>
      <c r="U168" s="149">
        <v>16800</v>
      </c>
    </row>
    <row r="169" spans="2:21">
      <c r="B169" s="102" t="s">
        <v>356</v>
      </c>
      <c r="C169" s="148" t="s">
        <v>152</v>
      </c>
      <c r="D169" s="148" t="s">
        <v>179</v>
      </c>
      <c r="E169" s="148" t="s">
        <v>195</v>
      </c>
      <c r="F169" s="148" t="s">
        <v>195</v>
      </c>
      <c r="G169" s="148" t="s">
        <v>195</v>
      </c>
      <c r="H169" s="148" t="s">
        <v>6</v>
      </c>
      <c r="I169" s="100">
        <f t="shared" si="3"/>
        <v>164308137.36823827</v>
      </c>
      <c r="J169" s="149">
        <v>36936926.754385963</v>
      </c>
      <c r="K169" s="149">
        <v>36226819.590643264</v>
      </c>
      <c r="L169" s="149">
        <v>27651940.058479562</v>
      </c>
      <c r="M169" s="149">
        <v>15825708.625730999</v>
      </c>
      <c r="N169" s="149">
        <v>4608879.0935672494</v>
      </c>
      <c r="O169" s="149">
        <v>850167.54385965201</v>
      </c>
      <c r="P169" s="149">
        <v>552067.93524566945</v>
      </c>
      <c r="Q169" s="149">
        <v>532671.36329890345</v>
      </c>
      <c r="R169" s="149">
        <v>2522598.9775631865</v>
      </c>
      <c r="S169" s="149">
        <v>9347050.6958250329</v>
      </c>
      <c r="T169" s="149">
        <v>11847160.082113836</v>
      </c>
      <c r="U169" s="149">
        <v>17406146.647524938</v>
      </c>
    </row>
    <row r="170" spans="2:21">
      <c r="B170" s="102" t="s">
        <v>356</v>
      </c>
      <c r="C170" s="148" t="s">
        <v>252</v>
      </c>
      <c r="D170" s="148" t="s">
        <v>7</v>
      </c>
      <c r="E170" s="148" t="s">
        <v>176</v>
      </c>
      <c r="F170" s="148" t="s">
        <v>195</v>
      </c>
      <c r="G170" s="148" t="s">
        <v>195</v>
      </c>
      <c r="H170" s="148" t="s">
        <v>207</v>
      </c>
      <c r="I170" s="100">
        <f t="shared" si="3"/>
        <v>750000</v>
      </c>
      <c r="J170" s="149">
        <v>60000</v>
      </c>
      <c r="K170" s="149">
        <v>70000</v>
      </c>
      <c r="L170" s="149">
        <v>68000</v>
      </c>
      <c r="M170" s="149">
        <v>67000</v>
      </c>
      <c r="N170" s="149">
        <v>63000</v>
      </c>
      <c r="O170" s="149">
        <v>55000.000000000007</v>
      </c>
      <c r="P170" s="149">
        <v>153000</v>
      </c>
      <c r="Q170" s="149">
        <v>46000.000000000007</v>
      </c>
      <c r="R170" s="149">
        <v>52000</v>
      </c>
      <c r="S170" s="149">
        <v>36000</v>
      </c>
      <c r="T170" s="149">
        <v>43999.999999999993</v>
      </c>
      <c r="U170" s="149">
        <v>35999.999999999993</v>
      </c>
    </row>
    <row r="171" spans="2:21">
      <c r="B171" s="102" t="s">
        <v>356</v>
      </c>
      <c r="C171" s="148" t="s">
        <v>252</v>
      </c>
      <c r="D171" s="148" t="s">
        <v>7</v>
      </c>
      <c r="E171" s="148" t="s">
        <v>176</v>
      </c>
      <c r="F171" s="148" t="s">
        <v>195</v>
      </c>
      <c r="G171" s="148" t="s">
        <v>195</v>
      </c>
      <c r="H171" s="148" t="s">
        <v>208</v>
      </c>
      <c r="I171" s="100">
        <f t="shared" si="3"/>
        <v>927000</v>
      </c>
      <c r="J171" s="149">
        <v>62999.999999999993</v>
      </c>
      <c r="K171" s="149">
        <v>103000</v>
      </c>
      <c r="L171" s="149">
        <v>102000</v>
      </c>
      <c r="M171" s="149">
        <v>52000</v>
      </c>
      <c r="N171" s="149">
        <v>74000</v>
      </c>
      <c r="O171" s="149">
        <v>77000</v>
      </c>
      <c r="P171" s="149">
        <v>219000</v>
      </c>
      <c r="Q171" s="149">
        <v>55000.000000000007</v>
      </c>
      <c r="R171" s="149">
        <v>50000</v>
      </c>
      <c r="S171" s="149">
        <v>35000</v>
      </c>
      <c r="T171" s="149">
        <v>40999.999999999993</v>
      </c>
      <c r="U171" s="149">
        <v>56000</v>
      </c>
    </row>
    <row r="172" spans="2:21">
      <c r="B172" s="102" t="s">
        <v>356</v>
      </c>
      <c r="C172" s="148" t="s">
        <v>172</v>
      </c>
      <c r="D172" s="148" t="s">
        <v>5</v>
      </c>
      <c r="E172" s="148" t="s">
        <v>176</v>
      </c>
      <c r="F172" s="148" t="s">
        <v>195</v>
      </c>
      <c r="G172" s="148" t="s">
        <v>195</v>
      </c>
      <c r="H172" s="148" t="s">
        <v>207</v>
      </c>
      <c r="I172" s="100">
        <f t="shared" si="3"/>
        <v>49173565.341664359</v>
      </c>
      <c r="J172" s="149">
        <v>4545760.4790419163</v>
      </c>
      <c r="K172" s="149">
        <v>4186800.2177463258</v>
      </c>
      <c r="L172" s="149">
        <v>4196600.2540373802</v>
      </c>
      <c r="M172" s="149">
        <v>4618600.2540373802</v>
      </c>
      <c r="N172" s="149">
        <v>4839100.1633097436</v>
      </c>
      <c r="O172" s="149">
        <v>4647900.3810560694</v>
      </c>
      <c r="P172" s="149">
        <v>3969400.7383097732</v>
      </c>
      <c r="Q172" s="149">
        <v>3798200.8582280395</v>
      </c>
      <c r="R172" s="149">
        <v>3726901.0175763187</v>
      </c>
      <c r="S172" s="149">
        <v>3575601.2950971327</v>
      </c>
      <c r="T172" s="149">
        <v>3487899.3115346273</v>
      </c>
      <c r="U172" s="149">
        <v>3580800.3716896391</v>
      </c>
    </row>
    <row r="173" spans="2:21">
      <c r="B173" s="102" t="s">
        <v>356</v>
      </c>
      <c r="C173" s="148" t="s">
        <v>172</v>
      </c>
      <c r="D173" s="148" t="s">
        <v>5</v>
      </c>
      <c r="E173" s="148" t="s">
        <v>176</v>
      </c>
      <c r="F173" s="148" t="s">
        <v>195</v>
      </c>
      <c r="G173" s="148" t="s">
        <v>195</v>
      </c>
      <c r="H173" s="148" t="s">
        <v>208</v>
      </c>
      <c r="I173" s="100">
        <f t="shared" si="3"/>
        <v>74395518.782554358</v>
      </c>
      <c r="J173" s="149">
        <v>8112859.9825251205</v>
      </c>
      <c r="K173" s="149">
        <v>7529459.5893403254</v>
      </c>
      <c r="L173" s="149">
        <v>7530600.0436871992</v>
      </c>
      <c r="M173" s="149">
        <v>7519799.4757536026</v>
      </c>
      <c r="N173" s="149">
        <v>6557899.9563127998</v>
      </c>
      <c r="O173" s="149">
        <v>6384999.5631280039</v>
      </c>
      <c r="P173" s="149">
        <v>5450099.9664139999</v>
      </c>
      <c r="Q173" s="149">
        <v>5191600.5165093066</v>
      </c>
      <c r="R173" s="149">
        <v>5060800.3130590338</v>
      </c>
      <c r="S173" s="149">
        <v>4832199.9105545618</v>
      </c>
      <c r="T173" s="149">
        <v>4698900.0445607966</v>
      </c>
      <c r="U173" s="149">
        <v>5526299.4207096314</v>
      </c>
    </row>
    <row r="174" spans="2:21">
      <c r="B174" s="102" t="s">
        <v>356</v>
      </c>
      <c r="C174" s="148" t="s">
        <v>172</v>
      </c>
      <c r="D174" s="148" t="s">
        <v>5</v>
      </c>
      <c r="E174" s="148" t="s">
        <v>177</v>
      </c>
      <c r="F174" s="148" t="s">
        <v>195</v>
      </c>
      <c r="G174" s="148" t="s">
        <v>195</v>
      </c>
      <c r="H174" s="148" t="s">
        <v>207</v>
      </c>
      <c r="I174" s="100">
        <f t="shared" si="3"/>
        <v>20696100.937098291</v>
      </c>
      <c r="J174" s="149">
        <v>1884300.3118693815</v>
      </c>
      <c r="K174" s="149">
        <v>1908300.1284168041</v>
      </c>
      <c r="L174" s="149">
        <v>1620000</v>
      </c>
      <c r="M174" s="149">
        <v>1708799.8532379381</v>
      </c>
      <c r="N174" s="149">
        <v>1783800.0366905155</v>
      </c>
      <c r="O174" s="149">
        <v>1984200.1467620619</v>
      </c>
      <c r="P174" s="149">
        <v>1844400.0621919683</v>
      </c>
      <c r="Q174" s="149">
        <v>1762499.9821009319</v>
      </c>
      <c r="R174" s="149">
        <v>1626300.0935453696</v>
      </c>
      <c r="S174" s="149">
        <v>1566000</v>
      </c>
      <c r="T174" s="149">
        <v>1513500.1659600434</v>
      </c>
      <c r="U174" s="149">
        <v>1494000.1563232765</v>
      </c>
    </row>
    <row r="175" spans="2:21">
      <c r="B175" s="102" t="s">
        <v>356</v>
      </c>
      <c r="C175" s="148" t="s">
        <v>172</v>
      </c>
      <c r="D175" s="148" t="s">
        <v>5</v>
      </c>
      <c r="E175" s="148" t="s">
        <v>177</v>
      </c>
      <c r="F175" s="148" t="s">
        <v>195</v>
      </c>
      <c r="G175" s="148" t="s">
        <v>195</v>
      </c>
      <c r="H175" s="148" t="s">
        <v>208</v>
      </c>
      <c r="I175" s="100">
        <f t="shared" si="3"/>
        <v>30822000.819300748</v>
      </c>
      <c r="J175" s="149">
        <v>3251700.08853475</v>
      </c>
      <c r="K175" s="149">
        <v>3297300.1328021251</v>
      </c>
      <c r="L175" s="149">
        <v>2836200.08853475</v>
      </c>
      <c r="M175" s="149">
        <v>2733899.7343957499</v>
      </c>
      <c r="N175" s="149">
        <v>2392800.1328021251</v>
      </c>
      <c r="O175" s="149">
        <v>2665799.6901283758</v>
      </c>
      <c r="P175" s="149">
        <v>2498700.1681999713</v>
      </c>
      <c r="Q175" s="149">
        <v>2383200.0594378808</v>
      </c>
      <c r="R175" s="149">
        <v>2238599.9546690839</v>
      </c>
      <c r="S175" s="149">
        <v>2166600.1813236629</v>
      </c>
      <c r="T175" s="149">
        <v>2095500.3688529488</v>
      </c>
      <c r="U175" s="149">
        <v>2261700.2196193263</v>
      </c>
    </row>
    <row r="176" spans="2:21">
      <c r="B176" s="102" t="s">
        <v>356</v>
      </c>
      <c r="C176" s="148" t="s">
        <v>172</v>
      </c>
      <c r="D176" s="148" t="s">
        <v>7</v>
      </c>
      <c r="E176" s="148" t="s">
        <v>176</v>
      </c>
      <c r="F176" s="148" t="s">
        <v>195</v>
      </c>
      <c r="G176" s="148" t="s">
        <v>195</v>
      </c>
      <c r="H176" s="148" t="s">
        <v>207</v>
      </c>
      <c r="I176" s="100">
        <f t="shared" si="3"/>
        <v>77212653.977065504</v>
      </c>
      <c r="J176" s="149">
        <v>5981099.9818544723</v>
      </c>
      <c r="K176" s="149">
        <v>5502800.2177463248</v>
      </c>
      <c r="L176" s="149">
        <v>5806950.4627109431</v>
      </c>
      <c r="M176" s="149">
        <v>6679700.4173471248</v>
      </c>
      <c r="N176" s="149">
        <v>7459900.0181455277</v>
      </c>
      <c r="O176" s="149">
        <v>6717500.272182907</v>
      </c>
      <c r="P176" s="149">
        <v>6435449.8676014375</v>
      </c>
      <c r="Q176" s="149">
        <v>6593900.9282419104</v>
      </c>
      <c r="R176" s="149">
        <v>6660550.9713228494</v>
      </c>
      <c r="S176" s="149">
        <v>6835050.8788159098</v>
      </c>
      <c r="T176" s="149">
        <v>6671899.8759172084</v>
      </c>
      <c r="U176" s="149">
        <v>5867850.0851788763</v>
      </c>
    </row>
    <row r="177" spans="2:21">
      <c r="B177" s="102" t="s">
        <v>356</v>
      </c>
      <c r="C177" s="148" t="s">
        <v>172</v>
      </c>
      <c r="D177" s="148" t="s">
        <v>7</v>
      </c>
      <c r="E177" s="148" t="s">
        <v>176</v>
      </c>
      <c r="F177" s="148" t="s">
        <v>195</v>
      </c>
      <c r="G177" s="148" t="s">
        <v>195</v>
      </c>
      <c r="H177" s="148" t="s">
        <v>208</v>
      </c>
      <c r="I177" s="100">
        <f t="shared" si="3"/>
        <v>121576649.19191363</v>
      </c>
      <c r="J177" s="149">
        <v>11942100.043687198</v>
      </c>
      <c r="K177" s="149">
        <v>10897600.480559196</v>
      </c>
      <c r="L177" s="149">
        <v>11450200.0873744</v>
      </c>
      <c r="M177" s="149">
        <v>10292150.065530799</v>
      </c>
      <c r="N177" s="149">
        <v>10471200.305810399</v>
      </c>
      <c r="O177" s="149">
        <v>9436850.1529051978</v>
      </c>
      <c r="P177" s="149">
        <v>8911049.9205385335</v>
      </c>
      <c r="Q177" s="149">
        <v>9327799.6660547331</v>
      </c>
      <c r="R177" s="149">
        <v>9346349.7316636853</v>
      </c>
      <c r="S177" s="149">
        <v>9608300.0894454382</v>
      </c>
      <c r="T177" s="149">
        <v>9325749.4086626694</v>
      </c>
      <c r="U177" s="149">
        <v>10567299.239681387</v>
      </c>
    </row>
    <row r="178" spans="2:21">
      <c r="B178" s="102" t="s">
        <v>356</v>
      </c>
      <c r="C178" s="148" t="s">
        <v>172</v>
      </c>
      <c r="D178" s="148" t="s">
        <v>7</v>
      </c>
      <c r="E178" s="148" t="s">
        <v>177</v>
      </c>
      <c r="F178" s="148" t="s">
        <v>195</v>
      </c>
      <c r="G178" s="148" t="s">
        <v>195</v>
      </c>
      <c r="H178" s="148" t="s">
        <v>207</v>
      </c>
      <c r="I178" s="100">
        <f t="shared" si="3"/>
        <v>167400.11911145085</v>
      </c>
      <c r="J178" s="149">
        <v>8999.9999999999982</v>
      </c>
      <c r="K178" s="149">
        <v>8999.9999999999982</v>
      </c>
      <c r="L178" s="149">
        <v>8999.9999999999982</v>
      </c>
      <c r="M178" s="149">
        <v>10800.036690515502</v>
      </c>
      <c r="N178" s="149">
        <v>14399.926618968997</v>
      </c>
      <c r="O178" s="149">
        <v>17999.999999999996</v>
      </c>
      <c r="P178" s="149">
        <v>19800.036690515499</v>
      </c>
      <c r="Q178" s="149">
        <v>18000.142128554435</v>
      </c>
      <c r="R178" s="149">
        <v>18000</v>
      </c>
      <c r="S178" s="149">
        <v>14400</v>
      </c>
      <c r="T178" s="149">
        <v>14400.008247551727</v>
      </c>
      <c r="U178" s="149">
        <v>12599.968735344693</v>
      </c>
    </row>
    <row r="179" spans="2:21">
      <c r="B179" s="102" t="s">
        <v>356</v>
      </c>
      <c r="C179" s="148" t="s">
        <v>172</v>
      </c>
      <c r="D179" s="148" t="s">
        <v>7</v>
      </c>
      <c r="E179" s="148" t="s">
        <v>177</v>
      </c>
      <c r="F179" s="148" t="s">
        <v>195</v>
      </c>
      <c r="G179" s="148" t="s">
        <v>195</v>
      </c>
      <c r="H179" s="148" t="s">
        <v>208</v>
      </c>
      <c r="I179" s="100">
        <f t="shared" si="3"/>
        <v>266399.6814608078</v>
      </c>
      <c r="J179" s="149">
        <v>19799.911465250112</v>
      </c>
      <c r="K179" s="149">
        <v>18000</v>
      </c>
      <c r="L179" s="149">
        <v>19799.911465250112</v>
      </c>
      <c r="M179" s="149">
        <v>21600.044267374946</v>
      </c>
      <c r="N179" s="149">
        <v>19799.911465250112</v>
      </c>
      <c r="O179" s="149">
        <v>25200.088534749888</v>
      </c>
      <c r="P179" s="149">
        <v>28799.911465250112</v>
      </c>
      <c r="Q179" s="149">
        <v>25199.921779588607</v>
      </c>
      <c r="R179" s="149">
        <v>25199.909338168629</v>
      </c>
      <c r="S179" s="149">
        <v>21599.954669084316</v>
      </c>
      <c r="T179" s="149">
        <v>21600.153614062008</v>
      </c>
      <c r="U179" s="149">
        <v>19799.963396778916</v>
      </c>
    </row>
    <row r="180" spans="2:21">
      <c r="B180" s="102" t="s">
        <v>356</v>
      </c>
      <c r="C180" s="148" t="s">
        <v>287</v>
      </c>
      <c r="D180" s="148" t="s">
        <v>7</v>
      </c>
      <c r="E180" s="148" t="s">
        <v>177</v>
      </c>
      <c r="F180" s="148" t="s">
        <v>195</v>
      </c>
      <c r="G180" s="148" t="s">
        <v>195</v>
      </c>
      <c r="H180" s="148" t="s">
        <v>207</v>
      </c>
      <c r="I180" s="100">
        <f t="shared" si="3"/>
        <v>210164400.0636223</v>
      </c>
      <c r="J180" s="149">
        <v>15346799.925691992</v>
      </c>
      <c r="K180" s="149">
        <v>15350399.962845996</v>
      </c>
      <c r="L180" s="149">
        <v>15530399.962845996</v>
      </c>
      <c r="M180" s="149">
        <v>14734799.925691994</v>
      </c>
      <c r="N180" s="149">
        <v>18835200.074308004</v>
      </c>
      <c r="O180" s="149">
        <v>18417600.037154004</v>
      </c>
      <c r="P180" s="149">
        <v>19529999.999999996</v>
      </c>
      <c r="Q180" s="149">
        <v>19339200.074308004</v>
      </c>
      <c r="R180" s="149">
        <v>17888399.9244713</v>
      </c>
      <c r="S180" s="149">
        <v>17830800.037764352</v>
      </c>
      <c r="T180" s="149">
        <v>17859600.0755287</v>
      </c>
      <c r="U180" s="149">
        <v>19501200.063011974</v>
      </c>
    </row>
    <row r="181" spans="2:21">
      <c r="B181" s="102" t="s">
        <v>356</v>
      </c>
      <c r="C181" s="148" t="s">
        <v>287</v>
      </c>
      <c r="D181" s="148" t="s">
        <v>7</v>
      </c>
      <c r="E181" s="148" t="s">
        <v>177</v>
      </c>
      <c r="F181" s="148" t="s">
        <v>195</v>
      </c>
      <c r="G181" s="148" t="s">
        <v>195</v>
      </c>
      <c r="H181" s="148" t="s">
        <v>208</v>
      </c>
      <c r="I181" s="100">
        <f t="shared" si="3"/>
        <v>330066000</v>
      </c>
      <c r="J181" s="149">
        <v>30672000</v>
      </c>
      <c r="K181" s="149">
        <v>30376800.000000004</v>
      </c>
      <c r="L181" s="149">
        <v>31071600</v>
      </c>
      <c r="M181" s="149">
        <v>29523600</v>
      </c>
      <c r="N181" s="149">
        <v>26348400.000000004</v>
      </c>
      <c r="O181" s="149">
        <v>25696800.000000004</v>
      </c>
      <c r="P181" s="149">
        <v>27352800.000000004</v>
      </c>
      <c r="Q181" s="149">
        <v>26928000</v>
      </c>
      <c r="R181" s="149">
        <v>25088399.954159979</v>
      </c>
      <c r="S181" s="149">
        <v>25045200.091680039</v>
      </c>
      <c r="T181" s="149">
        <v>24728399.954159983</v>
      </c>
      <c r="U181" s="149">
        <v>27234000.000000004</v>
      </c>
    </row>
    <row r="182" spans="2:21">
      <c r="B182" s="102" t="s">
        <v>356</v>
      </c>
      <c r="C182" s="148" t="s">
        <v>169</v>
      </c>
      <c r="D182" s="148" t="s">
        <v>4</v>
      </c>
      <c r="E182" s="148" t="s">
        <v>195</v>
      </c>
      <c r="F182" s="148" t="s">
        <v>195</v>
      </c>
      <c r="G182" s="148" t="s">
        <v>195</v>
      </c>
      <c r="H182" s="148" t="s">
        <v>6</v>
      </c>
      <c r="I182" s="100">
        <f t="shared" si="3"/>
        <v>877307.93333333358</v>
      </c>
      <c r="J182" s="149">
        <v>73894.2</v>
      </c>
      <c r="K182" s="149">
        <v>73699.06666666668</v>
      </c>
      <c r="L182" s="149">
        <v>73716.7</v>
      </c>
      <c r="M182" s="149">
        <v>73555.233333333337</v>
      </c>
      <c r="N182" s="149">
        <v>73434.766666666663</v>
      </c>
      <c r="O182" s="149">
        <v>73339.533333333326</v>
      </c>
      <c r="P182" s="149">
        <v>73049.400000000038</v>
      </c>
      <c r="Q182" s="149">
        <v>72374.766666666736</v>
      </c>
      <c r="R182" s="149">
        <v>73170.233333333337</v>
      </c>
      <c r="S182" s="149">
        <v>72954.3</v>
      </c>
      <c r="T182" s="149">
        <v>71307.499999999985</v>
      </c>
      <c r="U182" s="149">
        <v>72812.233333333337</v>
      </c>
    </row>
    <row r="183" spans="2:21">
      <c r="B183" s="102" t="s">
        <v>356</v>
      </c>
      <c r="C183" s="148" t="s">
        <v>169</v>
      </c>
      <c r="D183" s="148" t="s">
        <v>5</v>
      </c>
      <c r="E183" s="148" t="s">
        <v>195</v>
      </c>
      <c r="F183" s="148" t="s">
        <v>195</v>
      </c>
      <c r="G183" s="148" t="s">
        <v>195</v>
      </c>
      <c r="H183" s="148" t="s">
        <v>6</v>
      </c>
      <c r="I183" s="100">
        <f t="shared" si="3"/>
        <v>1836975.6</v>
      </c>
      <c r="J183" s="149">
        <v>153879.56666666665</v>
      </c>
      <c r="K183" s="149">
        <v>153989.93333333332</v>
      </c>
      <c r="L183" s="149">
        <v>153804.93333333335</v>
      </c>
      <c r="M183" s="149">
        <v>153658.09999999998</v>
      </c>
      <c r="N183" s="149">
        <v>153992.23333333328</v>
      </c>
      <c r="O183" s="149">
        <v>153959.80000000002</v>
      </c>
      <c r="P183" s="149">
        <v>152720.13333333342</v>
      </c>
      <c r="Q183" s="149">
        <v>150383.4666666667</v>
      </c>
      <c r="R183" s="149">
        <v>153277.23333333334</v>
      </c>
      <c r="S183" s="149">
        <v>153439.39999999994</v>
      </c>
      <c r="T183" s="149">
        <v>150855.2999999999</v>
      </c>
      <c r="U183" s="149">
        <v>153015.5</v>
      </c>
    </row>
    <row r="184" spans="2:21">
      <c r="B184" s="102" t="s">
        <v>356</v>
      </c>
      <c r="C184" s="148" t="s">
        <v>169</v>
      </c>
      <c r="D184" s="148" t="s">
        <v>7</v>
      </c>
      <c r="E184" s="148" t="s">
        <v>195</v>
      </c>
      <c r="F184" s="148" t="s">
        <v>195</v>
      </c>
      <c r="G184" s="148" t="s">
        <v>195</v>
      </c>
      <c r="H184" s="148" t="s">
        <v>6</v>
      </c>
      <c r="I184" s="100">
        <f t="shared" si="3"/>
        <v>121898.83333333334</v>
      </c>
      <c r="J184" s="149">
        <v>10183</v>
      </c>
      <c r="K184" s="149">
        <v>10183</v>
      </c>
      <c r="L184" s="149">
        <v>10183</v>
      </c>
      <c r="M184" s="149">
        <v>10183</v>
      </c>
      <c r="N184" s="149">
        <v>10183</v>
      </c>
      <c r="O184" s="149">
        <v>10190.6</v>
      </c>
      <c r="P184" s="149">
        <v>10137.700000000001</v>
      </c>
      <c r="Q184" s="149">
        <v>10017.433333333334</v>
      </c>
      <c r="R184" s="149">
        <v>10183</v>
      </c>
      <c r="S184" s="149">
        <v>10238.433333333332</v>
      </c>
      <c r="T184" s="149">
        <v>10009.6</v>
      </c>
      <c r="U184" s="149">
        <v>10207.066666666666</v>
      </c>
    </row>
    <row r="185" spans="2:21">
      <c r="B185" s="102" t="s">
        <v>356</v>
      </c>
      <c r="C185" s="148" t="s">
        <v>170</v>
      </c>
      <c r="D185" s="148" t="s">
        <v>167</v>
      </c>
      <c r="E185" s="148" t="s">
        <v>195</v>
      </c>
      <c r="F185" s="148" t="s">
        <v>195</v>
      </c>
      <c r="G185" s="148" t="s">
        <v>195</v>
      </c>
      <c r="H185" s="148" t="s">
        <v>6</v>
      </c>
      <c r="I185" s="100">
        <f t="shared" si="3"/>
        <v>1959801.2666666666</v>
      </c>
      <c r="J185" s="149">
        <v>163006.46666666667</v>
      </c>
      <c r="K185" s="149">
        <v>163088.66666666666</v>
      </c>
      <c r="L185" s="149">
        <v>162830.33333333331</v>
      </c>
      <c r="M185" s="149">
        <v>162859.96666666665</v>
      </c>
      <c r="N185" s="149">
        <v>163095.83333333334</v>
      </c>
      <c r="O185" s="149">
        <v>164187.66666666669</v>
      </c>
      <c r="P185" s="149">
        <v>162816.1333333333</v>
      </c>
      <c r="Q185" s="149">
        <v>160283.76666666669</v>
      </c>
      <c r="R185" s="149">
        <v>164197.9</v>
      </c>
      <c r="S185" s="149">
        <v>164592.63333333333</v>
      </c>
      <c r="T185" s="149">
        <v>164450.66666666666</v>
      </c>
      <c r="U185" s="149">
        <v>164391.23333333334</v>
      </c>
    </row>
    <row r="186" spans="2:21">
      <c r="B186" s="102" t="s">
        <v>356</v>
      </c>
      <c r="C186" s="148" t="s">
        <v>227</v>
      </c>
      <c r="D186" s="148" t="s">
        <v>167</v>
      </c>
      <c r="E186" s="148" t="s">
        <v>195</v>
      </c>
      <c r="F186" s="148" t="s">
        <v>195</v>
      </c>
      <c r="G186" s="148" t="s">
        <v>195</v>
      </c>
      <c r="H186" s="148" t="s">
        <v>6</v>
      </c>
      <c r="I186" s="100">
        <f t="shared" si="3"/>
        <v>2111889.0151406806</v>
      </c>
      <c r="J186" s="149">
        <v>158363.61702127676</v>
      </c>
      <c r="K186" s="149">
        <v>162842.12765957462</v>
      </c>
      <c r="L186" s="149">
        <v>169489.7872340426</v>
      </c>
      <c r="M186" s="149">
        <v>176370.21276595755</v>
      </c>
      <c r="N186" s="149">
        <v>186075.53191489371</v>
      </c>
      <c r="O186" s="149">
        <v>198288.72340425549</v>
      </c>
      <c r="P186" s="149">
        <v>197496.10062028089</v>
      </c>
      <c r="Q186" s="149">
        <v>187005.58371957624</v>
      </c>
      <c r="R186" s="149">
        <v>178879.33634992465</v>
      </c>
      <c r="S186" s="149">
        <v>171695.3320424766</v>
      </c>
      <c r="T186" s="149">
        <v>164700.59671370871</v>
      </c>
      <c r="U186" s="149">
        <v>160682.06569471274</v>
      </c>
    </row>
    <row r="187" spans="2:21">
      <c r="B187" s="150" t="s">
        <v>356</v>
      </c>
      <c r="C187" s="151" t="s">
        <v>171</v>
      </c>
      <c r="D187" s="151" t="s">
        <v>5</v>
      </c>
      <c r="E187" s="151" t="s">
        <v>195</v>
      </c>
      <c r="F187" s="151" t="s">
        <v>195</v>
      </c>
      <c r="G187" s="151" t="s">
        <v>195</v>
      </c>
      <c r="H187" s="151" t="s">
        <v>6</v>
      </c>
      <c r="I187" s="152">
        <f t="shared" si="3"/>
        <v>312414.5359818064</v>
      </c>
      <c r="J187" s="153">
        <v>23048.088531187124</v>
      </c>
      <c r="K187" s="153">
        <v>18517.303822937629</v>
      </c>
      <c r="L187" s="153">
        <v>14981.891348088531</v>
      </c>
      <c r="M187" s="153">
        <v>24668.008048289736</v>
      </c>
      <c r="N187" s="153">
        <v>32598.189134808854</v>
      </c>
      <c r="O187" s="153">
        <v>27807.042253521126</v>
      </c>
      <c r="P187" s="153">
        <v>27808.113844752465</v>
      </c>
      <c r="Q187" s="153">
        <v>34191.613541325234</v>
      </c>
      <c r="R187" s="153">
        <v>38441.122635753505</v>
      </c>
      <c r="S187" s="153">
        <v>30227.374415293882</v>
      </c>
      <c r="T187" s="153">
        <v>23255.123302816024</v>
      </c>
      <c r="U187" s="153">
        <v>16870.665103032334</v>
      </c>
    </row>
    <row r="188" spans="2:21">
      <c r="B188" s="145"/>
      <c r="C188" s="144"/>
      <c r="D188" s="144"/>
      <c r="E188" s="144"/>
      <c r="F188" s="144"/>
      <c r="G188" s="144"/>
      <c r="H188" s="144"/>
      <c r="I188" s="14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</row>
    <row r="189" spans="2:21">
      <c r="B189" s="102" t="s">
        <v>354</v>
      </c>
      <c r="C189" s="148" t="s">
        <v>422</v>
      </c>
      <c r="D189" s="100" t="s">
        <v>4</v>
      </c>
      <c r="E189" s="102" t="s">
        <v>195</v>
      </c>
      <c r="F189" s="102" t="s">
        <v>195</v>
      </c>
      <c r="G189" s="102" t="s">
        <v>195</v>
      </c>
      <c r="H189" s="102" t="s">
        <v>6</v>
      </c>
      <c r="I189" s="100">
        <f t="shared" ref="I189:I193" si="4">SUM(J189:V189)</f>
        <v>-19485564.170899998</v>
      </c>
      <c r="J189" s="155">
        <v>-19039258.281599998</v>
      </c>
      <c r="K189" s="155">
        <v>-2639370.7416000003</v>
      </c>
      <c r="L189" s="155">
        <v>2270928.5372000001</v>
      </c>
      <c r="M189" s="155">
        <v>3743165.0382000003</v>
      </c>
      <c r="N189" s="155">
        <v>17904121.6589</v>
      </c>
      <c r="O189" s="155">
        <v>10441493.345000001</v>
      </c>
      <c r="P189" s="155">
        <v>-22661821.320000004</v>
      </c>
      <c r="Q189" s="155">
        <v>-5226767.5455</v>
      </c>
      <c r="R189" s="155">
        <v>9430121.4316000007</v>
      </c>
      <c r="S189" s="155">
        <v>-17517733.873599999</v>
      </c>
      <c r="T189" s="155">
        <v>-666818.16029999999</v>
      </c>
      <c r="U189" s="155">
        <v>4476375.7407999998</v>
      </c>
    </row>
    <row r="190" spans="2:21">
      <c r="B190" s="102" t="s">
        <v>354</v>
      </c>
      <c r="C190" s="102" t="s">
        <v>229</v>
      </c>
      <c r="D190" s="102" t="s">
        <v>5</v>
      </c>
      <c r="E190" s="102" t="s">
        <v>195</v>
      </c>
      <c r="F190" s="102" t="s">
        <v>195</v>
      </c>
      <c r="G190" s="102" t="s">
        <v>195</v>
      </c>
      <c r="H190" s="102" t="s">
        <v>6</v>
      </c>
      <c r="I190" s="100">
        <f t="shared" si="4"/>
        <v>-858022.95925769093</v>
      </c>
      <c r="J190" s="155">
        <v>-2905921.9758012621</v>
      </c>
      <c r="K190" s="155">
        <v>-299444.62906759832</v>
      </c>
      <c r="L190" s="155">
        <v>313515.14540020784</v>
      </c>
      <c r="M190" s="155">
        <v>210986.65549915773</v>
      </c>
      <c r="N190" s="155">
        <v>735000.16187917721</v>
      </c>
      <c r="O190" s="155">
        <v>529754.07496228884</v>
      </c>
      <c r="P190" s="155">
        <v>-1284110.4754462757</v>
      </c>
      <c r="Q190" s="155">
        <v>-295508.74150549911</v>
      </c>
      <c r="R190" s="155">
        <v>332250.47660146432</v>
      </c>
      <c r="S190" s="155">
        <v>-235542.56365846482</v>
      </c>
      <c r="T190" s="155">
        <v>1376913.8102822206</v>
      </c>
      <c r="U190" s="155">
        <v>664085.10159689258</v>
      </c>
    </row>
    <row r="191" spans="2:21">
      <c r="B191" s="102" t="s">
        <v>354</v>
      </c>
      <c r="C191" s="102" t="s">
        <v>279</v>
      </c>
      <c r="D191" s="102" t="s">
        <v>5</v>
      </c>
      <c r="E191" s="102" t="s">
        <v>195</v>
      </c>
      <c r="F191" s="102" t="s">
        <v>195</v>
      </c>
      <c r="G191" s="102" t="s">
        <v>195</v>
      </c>
      <c r="H191" s="102" t="s">
        <v>6</v>
      </c>
      <c r="I191" s="100">
        <f t="shared" si="4"/>
        <v>-127447.37919797213</v>
      </c>
      <c r="J191" s="155">
        <v>-4167497.5791301895</v>
      </c>
      <c r="K191" s="155">
        <v>-451859.45575063111</v>
      </c>
      <c r="L191" s="155">
        <v>522798.74801745563</v>
      </c>
      <c r="M191" s="155">
        <v>420535.28553669073</v>
      </c>
      <c r="N191" s="155">
        <v>1535166.5523953503</v>
      </c>
      <c r="O191" s="155">
        <v>839300.06142040144</v>
      </c>
      <c r="P191" s="155">
        <v>-1898257.3467174903</v>
      </c>
      <c r="Q191" s="155">
        <v>-457479.2307066184</v>
      </c>
      <c r="R191" s="155">
        <v>522411.24795534747</v>
      </c>
      <c r="S191" s="155">
        <v>-397132.46755711682</v>
      </c>
      <c r="T191" s="155">
        <v>2262002.3911791504</v>
      </c>
      <c r="U191" s="155">
        <v>1142564.4141596786</v>
      </c>
    </row>
    <row r="192" spans="2:21">
      <c r="B192" s="102" t="s">
        <v>354</v>
      </c>
      <c r="C192" s="102" t="s">
        <v>172</v>
      </c>
      <c r="D192" s="102" t="s">
        <v>5</v>
      </c>
      <c r="E192" s="102" t="s">
        <v>195</v>
      </c>
      <c r="F192" s="102" t="s">
        <v>195</v>
      </c>
      <c r="G192" s="102" t="s">
        <v>195</v>
      </c>
      <c r="H192" s="102" t="s">
        <v>6</v>
      </c>
      <c r="I192" s="100">
        <f t="shared" si="4"/>
        <v>-223992.30364433755</v>
      </c>
      <c r="J192" s="155">
        <v>-1078256.8476685488</v>
      </c>
      <c r="K192" s="155">
        <v>-95439.097081770495</v>
      </c>
      <c r="L192" s="155">
        <v>117846.16578233648</v>
      </c>
      <c r="M192" s="155">
        <v>91607.809064151545</v>
      </c>
      <c r="N192" s="155">
        <v>302456.3133254727</v>
      </c>
      <c r="O192" s="155">
        <v>187349.74011730956</v>
      </c>
      <c r="P192" s="155">
        <v>-355960.63213623391</v>
      </c>
      <c r="Q192" s="155">
        <v>-86551.635187882435</v>
      </c>
      <c r="R192" s="155">
        <v>100386.25844318837</v>
      </c>
      <c r="S192" s="155">
        <v>-80836.761384418292</v>
      </c>
      <c r="T192" s="155">
        <v>446721.21953862917</v>
      </c>
      <c r="U192" s="155">
        <v>226685.16354342879</v>
      </c>
    </row>
    <row r="193" spans="2:21">
      <c r="B193" s="150" t="s">
        <v>354</v>
      </c>
      <c r="C193" s="150" t="s">
        <v>152</v>
      </c>
      <c r="D193" s="150" t="s">
        <v>179</v>
      </c>
      <c r="E193" s="150" t="s">
        <v>195</v>
      </c>
      <c r="F193" s="150" t="s">
        <v>195</v>
      </c>
      <c r="G193" s="150" t="s">
        <v>195</v>
      </c>
      <c r="H193" s="150" t="s">
        <v>6</v>
      </c>
      <c r="I193" s="152">
        <f t="shared" si="4"/>
        <v>-889650.20250000036</v>
      </c>
      <c r="J193" s="156">
        <v>-3894980.6418000003</v>
      </c>
      <c r="K193" s="156">
        <v>-418164.83589999995</v>
      </c>
      <c r="L193" s="156">
        <v>388314.98879999999</v>
      </c>
      <c r="M193" s="156">
        <v>13500.8513</v>
      </c>
      <c r="N193" s="156">
        <v>0</v>
      </c>
      <c r="O193" s="156">
        <v>0</v>
      </c>
      <c r="P193" s="156">
        <v>0</v>
      </c>
      <c r="Q193" s="156">
        <v>0</v>
      </c>
      <c r="R193" s="156">
        <v>0</v>
      </c>
      <c r="S193" s="156">
        <v>0</v>
      </c>
      <c r="T193" s="156">
        <v>2006566.1688000001</v>
      </c>
      <c r="U193" s="156">
        <v>1015113.2663</v>
      </c>
    </row>
    <row r="194" spans="2:21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</row>
    <row r="195" spans="2:21">
      <c r="B195" s="102" t="s">
        <v>333</v>
      </c>
      <c r="C195" s="148" t="s">
        <v>422</v>
      </c>
      <c r="D195" s="148" t="s">
        <v>4</v>
      </c>
      <c r="E195" s="148" t="s">
        <v>195</v>
      </c>
      <c r="F195" s="148" t="s">
        <v>195</v>
      </c>
      <c r="G195" s="148" t="s">
        <v>195</v>
      </c>
      <c r="H195" s="101" t="s">
        <v>197</v>
      </c>
      <c r="I195" s="100">
        <f t="shared" ref="I195:I202" si="5">SUM(J195:V195)</f>
        <v>717227158.07384765</v>
      </c>
      <c r="J195" s="100">
        <f>SUMIFS(J$149:J$187,$C$149:$C$187,$C195,$D$149:$D$187,$D195,$E$149:$E$187,$E195,$H$149:$H$187,$H195)+SUMIFS(J$189:J$193,$C$189:$C$193,$C195,$D$189:$D$193,$D195)*SUMIFS(J$149:J$187,$C$149:$C$187,$C195,$D$149:$D$187,$D195,$E$149:$E$187,$E195,$H$149:$H$187,$H195)/SUMIFS(J$149:J$187,$C$149:$C$187,$C195,$D$149:$D$187,$D195)</f>
        <v>53361253.6913286</v>
      </c>
      <c r="K195" s="100">
        <f t="shared" ref="K195:U195" si="6">SUMIFS(K$149:K$187,$C$149:$C$187,$C195,$D$149:$D$187,$D195,$E$149:$E$187,$E195,$H$149:$H$187,$H195)+SUMIFS(K$189:K$193,$C$189:$C$193,$C195,$D$189:$D$193,$D195)*SUMIFS(K$149:K$187,$C$149:$C$187,$C195,$D$149:$D$187,$D195,$E$149:$E$187,$E195,$H$149:$H$187,$H195)/SUMIFS(K$149:K$187,$C$149:$C$187,$C195,$D$149:$D$187,$D195)</f>
        <v>60246923.22703217</v>
      </c>
      <c r="L195" s="100">
        <f t="shared" si="6"/>
        <v>59581355.617611021</v>
      </c>
      <c r="M195" s="100">
        <f t="shared" si="6"/>
        <v>58755823.914918318</v>
      </c>
      <c r="N195" s="100">
        <f t="shared" si="6"/>
        <v>68455124.358087093</v>
      </c>
      <c r="O195" s="100">
        <f t="shared" si="6"/>
        <v>66152304.06704881</v>
      </c>
      <c r="P195" s="100">
        <f t="shared" si="6"/>
        <v>57090915.072624795</v>
      </c>
      <c r="Q195" s="100">
        <f t="shared" si="6"/>
        <v>60666872.024507716</v>
      </c>
      <c r="R195" s="100">
        <f t="shared" si="6"/>
        <v>65289776.949130207</v>
      </c>
      <c r="S195" s="100">
        <f t="shared" si="6"/>
        <v>50504980.134270266</v>
      </c>
      <c r="T195" s="100">
        <f t="shared" si="6"/>
        <v>57893863.687184468</v>
      </c>
      <c r="U195" s="100">
        <f t="shared" si="6"/>
        <v>59227965.33010406</v>
      </c>
    </row>
    <row r="196" spans="2:21">
      <c r="B196" s="102" t="s">
        <v>333</v>
      </c>
      <c r="C196" s="148" t="s">
        <v>422</v>
      </c>
      <c r="D196" s="148" t="s">
        <v>4</v>
      </c>
      <c r="E196" s="148" t="s">
        <v>195</v>
      </c>
      <c r="F196" s="148" t="s">
        <v>195</v>
      </c>
      <c r="G196" s="148" t="s">
        <v>195</v>
      </c>
      <c r="H196" s="101" t="s">
        <v>198</v>
      </c>
      <c r="I196" s="100">
        <f t="shared" si="5"/>
        <v>900390889.01040673</v>
      </c>
      <c r="J196" s="100">
        <f t="shared" ref="J196:U233" si="7">SUMIFS(J$149:J$187,$C$149:$C$187,$C196,$D$149:$D$187,$D196,$E$149:$E$187,$E196,$H$149:$H$187,$H196)+SUMIFS(J$189:J$193,$C$189:$C$193,$C196,$D$189:$D$193,$D196)*SUMIFS(J$149:J$187,$C$149:$C$187,$C196,$D$149:$D$187,$D196,$E$149:$E$187,$E196,$H$149:$H$187,$H196)/SUMIFS(J$149:J$187,$C$149:$C$187,$C196,$D$149:$D$187,$D196)</f>
        <v>74826439.743214875</v>
      </c>
      <c r="K196" s="100">
        <f t="shared" si="7"/>
        <v>79218227.69121328</v>
      </c>
      <c r="L196" s="100">
        <f t="shared" si="7"/>
        <v>47292871.889757439</v>
      </c>
      <c r="M196" s="100">
        <f t="shared" si="7"/>
        <v>35297570.837008141</v>
      </c>
      <c r="N196" s="100">
        <f t="shared" si="7"/>
        <v>69330835.384039849</v>
      </c>
      <c r="O196" s="100">
        <f t="shared" si="7"/>
        <v>113223185.55740769</v>
      </c>
      <c r="P196" s="100">
        <f t="shared" si="7"/>
        <v>145998527.11336142</v>
      </c>
      <c r="Q196" s="100">
        <f t="shared" si="7"/>
        <v>117046652.45477994</v>
      </c>
      <c r="R196" s="100">
        <f t="shared" si="7"/>
        <v>89117932.184582993</v>
      </c>
      <c r="S196" s="100">
        <f t="shared" si="7"/>
        <v>47843887.883771934</v>
      </c>
      <c r="T196" s="100">
        <f t="shared" si="7"/>
        <v>45531777.552980103</v>
      </c>
      <c r="U196" s="100">
        <f t="shared" si="7"/>
        <v>35662980.718289115</v>
      </c>
    </row>
    <row r="197" spans="2:21">
      <c r="B197" s="102" t="s">
        <v>333</v>
      </c>
      <c r="C197" s="148" t="s">
        <v>229</v>
      </c>
      <c r="D197" s="148" t="s">
        <v>4</v>
      </c>
      <c r="E197" s="148" t="s">
        <v>195</v>
      </c>
      <c r="F197" s="148" t="s">
        <v>195</v>
      </c>
      <c r="G197" s="148" t="s">
        <v>195</v>
      </c>
      <c r="H197" s="148" t="s">
        <v>197</v>
      </c>
      <c r="I197" s="100">
        <f t="shared" si="5"/>
        <v>13566732.250124412</v>
      </c>
      <c r="J197" s="100">
        <f t="shared" si="7"/>
        <v>1225169.9524731559</v>
      </c>
      <c r="K197" s="100">
        <f t="shared" si="7"/>
        <v>1211890.424221087</v>
      </c>
      <c r="L197" s="100">
        <f t="shared" si="7"/>
        <v>1094737.3701813056</v>
      </c>
      <c r="M197" s="100">
        <f t="shared" si="7"/>
        <v>980881.71096637845</v>
      </c>
      <c r="N197" s="100">
        <f t="shared" si="7"/>
        <v>997309.62858651567</v>
      </c>
      <c r="O197" s="100">
        <f t="shared" si="7"/>
        <v>1172583.1719767647</v>
      </c>
      <c r="P197" s="100">
        <f t="shared" si="7"/>
        <v>1414354.4189865505</v>
      </c>
      <c r="Q197" s="100">
        <f t="shared" si="7"/>
        <v>1293451.5874821479</v>
      </c>
      <c r="R197" s="100">
        <f t="shared" si="7"/>
        <v>1147041.5148013157</v>
      </c>
      <c r="S197" s="100">
        <f t="shared" si="7"/>
        <v>1017514.8013156732</v>
      </c>
      <c r="T197" s="100">
        <f t="shared" si="7"/>
        <v>999767.18380711973</v>
      </c>
      <c r="U197" s="100">
        <f t="shared" si="7"/>
        <v>1012030.4853263962</v>
      </c>
    </row>
    <row r="198" spans="2:21">
      <c r="B198" s="102" t="s">
        <v>333</v>
      </c>
      <c r="C198" s="148" t="s">
        <v>229</v>
      </c>
      <c r="D198" s="148" t="s">
        <v>4</v>
      </c>
      <c r="E198" s="148" t="s">
        <v>195</v>
      </c>
      <c r="F198" s="148" t="s">
        <v>195</v>
      </c>
      <c r="G198" s="148" t="s">
        <v>195</v>
      </c>
      <c r="H198" s="148" t="s">
        <v>198</v>
      </c>
      <c r="I198" s="100">
        <f t="shared" si="5"/>
        <v>7107440.1776486794</v>
      </c>
      <c r="J198" s="100">
        <f t="shared" si="7"/>
        <v>721533.11216026545</v>
      </c>
      <c r="K198" s="100">
        <f t="shared" si="7"/>
        <v>720161.66900599725</v>
      </c>
      <c r="L198" s="100">
        <f t="shared" si="7"/>
        <v>535527.88056654343</v>
      </c>
      <c r="M198" s="100">
        <f t="shared" si="7"/>
        <v>396203.13895623334</v>
      </c>
      <c r="N198" s="100">
        <f t="shared" si="7"/>
        <v>414101.69707796362</v>
      </c>
      <c r="O198" s="100">
        <f t="shared" si="7"/>
        <v>666403.98111522268</v>
      </c>
      <c r="P198" s="100">
        <f t="shared" si="7"/>
        <v>1029284.9326056727</v>
      </c>
      <c r="Q198" s="100">
        <f t="shared" si="7"/>
        <v>816093.40368263319</v>
      </c>
      <c r="R198" s="100">
        <f t="shared" si="7"/>
        <v>577952.74469186959</v>
      </c>
      <c r="S198" s="100">
        <f t="shared" si="7"/>
        <v>413350.9839461419</v>
      </c>
      <c r="T198" s="100">
        <f t="shared" si="7"/>
        <v>405403.43420476827</v>
      </c>
      <c r="U198" s="100">
        <f t="shared" si="7"/>
        <v>411423.19963536918</v>
      </c>
    </row>
    <row r="199" spans="2:21">
      <c r="B199" s="102" t="s">
        <v>333</v>
      </c>
      <c r="C199" s="148" t="s">
        <v>229</v>
      </c>
      <c r="D199" s="148" t="s">
        <v>4</v>
      </c>
      <c r="E199" s="148" t="s">
        <v>195</v>
      </c>
      <c r="F199" s="148" t="s">
        <v>195</v>
      </c>
      <c r="G199" s="148" t="s">
        <v>195</v>
      </c>
      <c r="H199" s="148" t="s">
        <v>282</v>
      </c>
      <c r="I199" s="100">
        <f t="shared" si="5"/>
        <v>930206.40963127534</v>
      </c>
      <c r="J199" s="100">
        <f t="shared" si="7"/>
        <v>104308.77528704208</v>
      </c>
      <c r="K199" s="100">
        <f t="shared" si="7"/>
        <v>105025.15035538544</v>
      </c>
      <c r="L199" s="100">
        <f t="shared" si="7"/>
        <v>75749.863313285954</v>
      </c>
      <c r="M199" s="100">
        <f t="shared" si="7"/>
        <v>53117.140513942039</v>
      </c>
      <c r="N199" s="100">
        <f t="shared" si="7"/>
        <v>48619.874248223066</v>
      </c>
      <c r="O199" s="100">
        <f t="shared" si="7"/>
        <v>79720.065609622747</v>
      </c>
      <c r="P199" s="100">
        <f t="shared" si="7"/>
        <v>163879.98906506287</v>
      </c>
      <c r="Q199" s="100">
        <f t="shared" si="7"/>
        <v>123726.67695413042</v>
      </c>
      <c r="R199" s="100">
        <f t="shared" si="7"/>
        <v>63235.040955157572</v>
      </c>
      <c r="S199" s="100">
        <f t="shared" si="7"/>
        <v>38770.789948632519</v>
      </c>
      <c r="T199" s="100">
        <f t="shared" si="7"/>
        <v>38559.039746629562</v>
      </c>
      <c r="U199" s="100">
        <f t="shared" si="7"/>
        <v>35494.003634161112</v>
      </c>
    </row>
    <row r="200" spans="2:21">
      <c r="B200" s="102" t="s">
        <v>333</v>
      </c>
      <c r="C200" s="148" t="s">
        <v>229</v>
      </c>
      <c r="D200" s="148" t="s">
        <v>5</v>
      </c>
      <c r="E200" s="148" t="s">
        <v>195</v>
      </c>
      <c r="F200" s="148" t="s">
        <v>195</v>
      </c>
      <c r="G200" s="148" t="s">
        <v>195</v>
      </c>
      <c r="H200" s="148" t="s">
        <v>197</v>
      </c>
      <c r="I200" s="100">
        <f t="shared" si="5"/>
        <v>124967405.83695066</v>
      </c>
      <c r="J200" s="100">
        <f t="shared" si="7"/>
        <v>9951231.1934418622</v>
      </c>
      <c r="K200" s="100">
        <f t="shared" si="7"/>
        <v>10546532.85137712</v>
      </c>
      <c r="L200" s="100">
        <f t="shared" si="7"/>
        <v>10212674.297046848</v>
      </c>
      <c r="M200" s="100">
        <f t="shared" si="7"/>
        <v>9829494.9459978361</v>
      </c>
      <c r="N200" s="100">
        <f t="shared" si="7"/>
        <v>10349359.914914433</v>
      </c>
      <c r="O200" s="100">
        <f t="shared" si="7"/>
        <v>10957698.402225677</v>
      </c>
      <c r="P200" s="100">
        <f t="shared" si="7"/>
        <v>11001368.797965545</v>
      </c>
      <c r="Q200" s="100">
        <f t="shared" si="7"/>
        <v>10888893.392461982</v>
      </c>
      <c r="R200" s="100">
        <f t="shared" si="7"/>
        <v>10701648.175141117</v>
      </c>
      <c r="S200" s="100">
        <f t="shared" si="7"/>
        <v>10168362.995355733</v>
      </c>
      <c r="T200" s="100">
        <f t="shared" si="7"/>
        <v>10405434.35687157</v>
      </c>
      <c r="U200" s="100">
        <f t="shared" si="7"/>
        <v>9954706.5141509417</v>
      </c>
    </row>
    <row r="201" spans="2:21">
      <c r="B201" s="102" t="s">
        <v>333</v>
      </c>
      <c r="C201" s="148" t="s">
        <v>229</v>
      </c>
      <c r="D201" s="148" t="s">
        <v>5</v>
      </c>
      <c r="E201" s="148" t="s">
        <v>195</v>
      </c>
      <c r="F201" s="148" t="s">
        <v>195</v>
      </c>
      <c r="G201" s="148" t="s">
        <v>195</v>
      </c>
      <c r="H201" s="148" t="s">
        <v>198</v>
      </c>
      <c r="I201" s="100">
        <f t="shared" si="5"/>
        <v>273139740.90305042</v>
      </c>
      <c r="J201" s="100">
        <f t="shared" si="7"/>
        <v>24768931.441416152</v>
      </c>
      <c r="K201" s="100">
        <f t="shared" si="7"/>
        <v>26626082.622502003</v>
      </c>
      <c r="L201" s="100">
        <f t="shared" si="7"/>
        <v>23043872.352990165</v>
      </c>
      <c r="M201" s="100">
        <f t="shared" si="7"/>
        <v>20099703.127281651</v>
      </c>
      <c r="N201" s="100">
        <f t="shared" si="7"/>
        <v>20866667.260668457</v>
      </c>
      <c r="O201" s="100">
        <f t="shared" si="7"/>
        <v>24401502.650777474</v>
      </c>
      <c r="P201" s="100">
        <f t="shared" si="7"/>
        <v>26699423.893846143</v>
      </c>
      <c r="Q201" s="100">
        <f t="shared" si="7"/>
        <v>24540287.138113283</v>
      </c>
      <c r="R201" s="100">
        <f t="shared" si="7"/>
        <v>22284442.187855355</v>
      </c>
      <c r="S201" s="100">
        <f t="shared" si="7"/>
        <v>19874162.748844311</v>
      </c>
      <c r="T201" s="100">
        <f t="shared" si="7"/>
        <v>20093266.252682593</v>
      </c>
      <c r="U201" s="100">
        <f t="shared" si="7"/>
        <v>19841399.226072818</v>
      </c>
    </row>
    <row r="202" spans="2:21">
      <c r="B202" s="102" t="s">
        <v>333</v>
      </c>
      <c r="C202" s="148" t="s">
        <v>229</v>
      </c>
      <c r="D202" s="148" t="s">
        <v>5</v>
      </c>
      <c r="E202" s="148" t="s">
        <v>195</v>
      </c>
      <c r="F202" s="148" t="s">
        <v>195</v>
      </c>
      <c r="G202" s="148" t="s">
        <v>195</v>
      </c>
      <c r="H202" s="148" t="s">
        <v>282</v>
      </c>
      <c r="I202" s="100">
        <f t="shared" si="5"/>
        <v>109295839.57231574</v>
      </c>
      <c r="J202" s="100">
        <f t="shared" si="7"/>
        <v>12546663.590384986</v>
      </c>
      <c r="K202" s="100">
        <f t="shared" si="7"/>
        <v>14013992.317186594</v>
      </c>
      <c r="L202" s="100">
        <f t="shared" si="7"/>
        <v>10334429.968186872</v>
      </c>
      <c r="M202" s="100">
        <f t="shared" si="7"/>
        <v>8459534.9535600282</v>
      </c>
      <c r="N202" s="100">
        <f t="shared" si="7"/>
        <v>7782592.689687781</v>
      </c>
      <c r="O202" s="100">
        <f t="shared" si="7"/>
        <v>9717465.4612522423</v>
      </c>
      <c r="P202" s="100">
        <f t="shared" si="7"/>
        <v>10625525.124650419</v>
      </c>
      <c r="Q202" s="100">
        <f t="shared" si="7"/>
        <v>8484360.8232057579</v>
      </c>
      <c r="R202" s="100">
        <f t="shared" si="7"/>
        <v>7216823.8635690371</v>
      </c>
      <c r="S202" s="100">
        <f t="shared" si="7"/>
        <v>6259234.2094146591</v>
      </c>
      <c r="T202" s="100">
        <f t="shared" si="7"/>
        <v>6468694.8026066311</v>
      </c>
      <c r="U202" s="100">
        <f t="shared" si="7"/>
        <v>7386521.7686107475</v>
      </c>
    </row>
    <row r="203" spans="2:21">
      <c r="B203" s="102" t="s">
        <v>333</v>
      </c>
      <c r="C203" s="148" t="s">
        <v>229</v>
      </c>
      <c r="D203" s="148" t="s">
        <v>7</v>
      </c>
      <c r="E203" s="148" t="s">
        <v>195</v>
      </c>
      <c r="F203" s="148" t="s">
        <v>195</v>
      </c>
      <c r="G203" s="148" t="s">
        <v>195</v>
      </c>
      <c r="H203" s="148" t="s">
        <v>197</v>
      </c>
      <c r="I203" s="100">
        <f t="shared" ref="I203:I207" si="8">SUM(J203:V203)</f>
        <v>2936892.8839031216</v>
      </c>
      <c r="J203" s="100">
        <f t="shared" si="7"/>
        <v>252888.57595493749</v>
      </c>
      <c r="K203" s="100">
        <f t="shared" si="7"/>
        <v>251012.23376166172</v>
      </c>
      <c r="L203" s="100">
        <f t="shared" si="7"/>
        <v>244532.12462594616</v>
      </c>
      <c r="M203" s="100">
        <f t="shared" si="7"/>
        <v>235201.28498503787</v>
      </c>
      <c r="N203" s="100">
        <f t="shared" si="7"/>
        <v>240304.78788945609</v>
      </c>
      <c r="O203" s="100">
        <f t="shared" si="7"/>
        <v>252332.95194508013</v>
      </c>
      <c r="P203" s="100">
        <f t="shared" si="7"/>
        <v>256061.40364699674</v>
      </c>
      <c r="Q203" s="100">
        <f t="shared" si="7"/>
        <v>251647.03726368514</v>
      </c>
      <c r="R203" s="100">
        <f t="shared" si="7"/>
        <v>243442.17263756771</v>
      </c>
      <c r="S203" s="100">
        <f t="shared" si="7"/>
        <v>237335.05200462262</v>
      </c>
      <c r="T203" s="100">
        <f t="shared" si="7"/>
        <v>236901.7009408325</v>
      </c>
      <c r="U203" s="100">
        <f t="shared" si="7"/>
        <v>235233.55824729701</v>
      </c>
    </row>
    <row r="204" spans="2:21">
      <c r="B204" s="102" t="s">
        <v>333</v>
      </c>
      <c r="C204" s="148" t="s">
        <v>229</v>
      </c>
      <c r="D204" s="148" t="s">
        <v>7</v>
      </c>
      <c r="E204" s="148" t="s">
        <v>195</v>
      </c>
      <c r="F204" s="148" t="s">
        <v>195</v>
      </c>
      <c r="G204" s="148" t="s">
        <v>195</v>
      </c>
      <c r="H204" s="148" t="s">
        <v>198</v>
      </c>
      <c r="I204" s="100">
        <f t="shared" si="8"/>
        <v>8697585.3458522987</v>
      </c>
      <c r="J204" s="100">
        <f t="shared" si="7"/>
        <v>752125.68584917695</v>
      </c>
      <c r="K204" s="100">
        <f t="shared" si="7"/>
        <v>760075.92190889374</v>
      </c>
      <c r="L204" s="100">
        <f t="shared" si="7"/>
        <v>692491.76980987634</v>
      </c>
      <c r="M204" s="100">
        <f t="shared" si="7"/>
        <v>643649.22802092636</v>
      </c>
      <c r="N204" s="100">
        <f t="shared" si="7"/>
        <v>684944.74926630082</v>
      </c>
      <c r="O204" s="100">
        <f t="shared" si="7"/>
        <v>794939.00727319124</v>
      </c>
      <c r="P204" s="100">
        <f t="shared" si="7"/>
        <v>885341.76161930081</v>
      </c>
      <c r="Q204" s="100">
        <f t="shared" si="7"/>
        <v>813995.35416953149</v>
      </c>
      <c r="R204" s="100">
        <f t="shared" si="7"/>
        <v>745667.27084412193</v>
      </c>
      <c r="S204" s="100">
        <f t="shared" si="7"/>
        <v>675856.42154324171</v>
      </c>
      <c r="T204" s="100">
        <f t="shared" si="7"/>
        <v>642916.47545657924</v>
      </c>
      <c r="U204" s="100">
        <f t="shared" si="7"/>
        <v>605581.70009115746</v>
      </c>
    </row>
    <row r="205" spans="2:21">
      <c r="B205" s="102" t="s">
        <v>333</v>
      </c>
      <c r="C205" s="148" t="s">
        <v>229</v>
      </c>
      <c r="D205" s="148" t="s">
        <v>7</v>
      </c>
      <c r="E205" s="148" t="s">
        <v>195</v>
      </c>
      <c r="F205" s="148" t="s">
        <v>195</v>
      </c>
      <c r="G205" s="148" t="s">
        <v>195</v>
      </c>
      <c r="H205" s="148" t="s">
        <v>282</v>
      </c>
      <c r="I205" s="100">
        <f t="shared" si="8"/>
        <v>3467787.0508055836</v>
      </c>
      <c r="J205" s="100">
        <f t="shared" si="7"/>
        <v>297350.05467468564</v>
      </c>
      <c r="K205" s="100">
        <f t="shared" si="7"/>
        <v>326696.00874794973</v>
      </c>
      <c r="L205" s="100">
        <f t="shared" si="7"/>
        <v>305237.01476216514</v>
      </c>
      <c r="M205" s="100">
        <f t="shared" si="7"/>
        <v>276133.8162930563</v>
      </c>
      <c r="N205" s="100">
        <f t="shared" si="7"/>
        <v>260851.14816839801</v>
      </c>
      <c r="O205" s="100">
        <f t="shared" si="7"/>
        <v>377989.20174958993</v>
      </c>
      <c r="P205" s="100">
        <f t="shared" si="7"/>
        <v>438098.00367184961</v>
      </c>
      <c r="Q205" s="100">
        <f t="shared" si="7"/>
        <v>317082.05197366659</v>
      </c>
      <c r="R205" s="100">
        <f t="shared" si="7"/>
        <v>236600.02776620854</v>
      </c>
      <c r="S205" s="100">
        <f t="shared" si="7"/>
        <v>216683.18756073859</v>
      </c>
      <c r="T205" s="100">
        <f t="shared" si="7"/>
        <v>195566.35372921964</v>
      </c>
      <c r="U205" s="100">
        <f t="shared" si="7"/>
        <v>219500.18170805572</v>
      </c>
    </row>
    <row r="206" spans="2:21">
      <c r="B206" s="102" t="s">
        <v>333</v>
      </c>
      <c r="C206" s="148" t="s">
        <v>279</v>
      </c>
      <c r="D206" s="148" t="s">
        <v>4</v>
      </c>
      <c r="E206" s="148" t="s">
        <v>176</v>
      </c>
      <c r="F206" s="148" t="s">
        <v>195</v>
      </c>
      <c r="G206" s="148" t="s">
        <v>195</v>
      </c>
      <c r="H206" s="148" t="s">
        <v>197</v>
      </c>
      <c r="I206" s="100">
        <f t="shared" si="8"/>
        <v>1479518.9669764682</v>
      </c>
      <c r="J206" s="100">
        <f t="shared" si="7"/>
        <v>107839.97997663941</v>
      </c>
      <c r="K206" s="100">
        <f t="shared" si="7"/>
        <v>110079.92658101118</v>
      </c>
      <c r="L206" s="100">
        <f t="shared" si="7"/>
        <v>96480.060070081759</v>
      </c>
      <c r="M206" s="100">
        <f t="shared" si="7"/>
        <v>87839.979976639414</v>
      </c>
      <c r="N206" s="100">
        <f t="shared" si="7"/>
        <v>91440.013348907058</v>
      </c>
      <c r="O206" s="100">
        <f t="shared" si="7"/>
        <v>112160.02002336059</v>
      </c>
      <c r="P206" s="100">
        <f t="shared" si="7"/>
        <v>160000</v>
      </c>
      <c r="Q206" s="100">
        <f t="shared" si="7"/>
        <v>159998.97441116284</v>
      </c>
      <c r="R206" s="100">
        <f t="shared" si="7"/>
        <v>166320.07479177293</v>
      </c>
      <c r="S206" s="100">
        <f t="shared" si="7"/>
        <v>134799.93200747919</v>
      </c>
      <c r="T206" s="100">
        <f t="shared" si="7"/>
        <v>129600.09230707766</v>
      </c>
      <c r="U206" s="100">
        <f t="shared" si="7"/>
        <v>122959.91348233599</v>
      </c>
    </row>
    <row r="207" spans="2:21">
      <c r="B207" s="102" t="s">
        <v>333</v>
      </c>
      <c r="C207" s="148" t="s">
        <v>279</v>
      </c>
      <c r="D207" s="148" t="s">
        <v>4</v>
      </c>
      <c r="E207" s="148" t="s">
        <v>176</v>
      </c>
      <c r="F207" s="148" t="s">
        <v>195</v>
      </c>
      <c r="G207" s="148" t="s">
        <v>195</v>
      </c>
      <c r="H207" s="148" t="s">
        <v>198</v>
      </c>
      <c r="I207" s="100">
        <f t="shared" si="8"/>
        <v>811580.59804120462</v>
      </c>
      <c r="J207" s="100">
        <f t="shared" si="7"/>
        <v>43059.916226552537</v>
      </c>
      <c r="K207" s="100">
        <f t="shared" si="7"/>
        <v>35199.963576761977</v>
      </c>
      <c r="L207" s="100">
        <f t="shared" si="7"/>
        <v>36199.963576761977</v>
      </c>
      <c r="M207" s="100">
        <f t="shared" si="7"/>
        <v>30199.963576761973</v>
      </c>
      <c r="N207" s="100">
        <f t="shared" si="7"/>
        <v>60800.036423238031</v>
      </c>
      <c r="O207" s="100">
        <f t="shared" si="7"/>
        <v>101979.96721908577</v>
      </c>
      <c r="P207" s="100">
        <f t="shared" si="7"/>
        <v>150899.83609542888</v>
      </c>
      <c r="Q207" s="100">
        <f t="shared" si="7"/>
        <v>94440.96360684956</v>
      </c>
      <c r="R207" s="100">
        <f t="shared" si="7"/>
        <v>81199.962832187332</v>
      </c>
      <c r="S207" s="100">
        <f t="shared" si="7"/>
        <v>69800.037167812683</v>
      </c>
      <c r="T207" s="100">
        <f t="shared" si="7"/>
        <v>63799.987739763965</v>
      </c>
      <c r="U207" s="100">
        <f t="shared" si="7"/>
        <v>44000</v>
      </c>
    </row>
    <row r="208" spans="2:21">
      <c r="B208" s="102" t="s">
        <v>333</v>
      </c>
      <c r="C208" s="148" t="s">
        <v>279</v>
      </c>
      <c r="D208" s="148" t="s">
        <v>5</v>
      </c>
      <c r="E208" s="148" t="s">
        <v>176</v>
      </c>
      <c r="F208" s="148" t="s">
        <v>195</v>
      </c>
      <c r="G208" s="148" t="s">
        <v>195</v>
      </c>
      <c r="H208" s="148" t="s">
        <v>197</v>
      </c>
      <c r="I208" s="100">
        <f t="shared" ref="I208:I217" si="9">SUM(J208:V208)</f>
        <v>366995069.57076186</v>
      </c>
      <c r="J208" s="100">
        <f t="shared" si="7"/>
        <v>28469477.308910172</v>
      </c>
      <c r="K208" s="100">
        <f t="shared" si="7"/>
        <v>30542230.541089352</v>
      </c>
      <c r="L208" s="100">
        <f t="shared" si="7"/>
        <v>32023201.250412263</v>
      </c>
      <c r="M208" s="100">
        <f t="shared" si="7"/>
        <v>31920488.39312603</v>
      </c>
      <c r="N208" s="100">
        <f t="shared" si="7"/>
        <v>31437526.971320581</v>
      </c>
      <c r="O208" s="100">
        <f t="shared" si="7"/>
        <v>31689242.935409028</v>
      </c>
      <c r="P208" s="100">
        <f t="shared" si="7"/>
        <v>30815812.787537012</v>
      </c>
      <c r="Q208" s="100">
        <f t="shared" si="7"/>
        <v>30685521.400300626</v>
      </c>
      <c r="R208" s="100">
        <f t="shared" si="7"/>
        <v>30439140.668190736</v>
      </c>
      <c r="S208" s="100">
        <f t="shared" si="7"/>
        <v>29088652.292769294</v>
      </c>
      <c r="T208" s="100">
        <f t="shared" si="7"/>
        <v>30166787.883841891</v>
      </c>
      <c r="U208" s="100">
        <f t="shared" si="7"/>
        <v>29716987.137854874</v>
      </c>
    </row>
    <row r="209" spans="2:21">
      <c r="B209" s="102" t="s">
        <v>333</v>
      </c>
      <c r="C209" s="148" t="s">
        <v>279</v>
      </c>
      <c r="D209" s="148" t="s">
        <v>5</v>
      </c>
      <c r="E209" s="148" t="s">
        <v>176</v>
      </c>
      <c r="F209" s="148" t="s">
        <v>195</v>
      </c>
      <c r="G209" s="148" t="s">
        <v>195</v>
      </c>
      <c r="H209" s="148" t="s">
        <v>198</v>
      </c>
      <c r="I209" s="100">
        <f t="shared" si="9"/>
        <v>459402853.69111091</v>
      </c>
      <c r="J209" s="100">
        <f t="shared" si="7"/>
        <v>39997245.577450633</v>
      </c>
      <c r="K209" s="100">
        <f t="shared" si="7"/>
        <v>42553279.084936805</v>
      </c>
      <c r="L209" s="100">
        <f t="shared" si="7"/>
        <v>43643200.782569766</v>
      </c>
      <c r="M209" s="100">
        <f t="shared" si="7"/>
        <v>45132551.979388952</v>
      </c>
      <c r="N209" s="100">
        <f t="shared" si="7"/>
        <v>43388447.834990837</v>
      </c>
      <c r="O209" s="100">
        <f t="shared" si="7"/>
        <v>43718453.493503526</v>
      </c>
      <c r="P209" s="100">
        <f t="shared" si="7"/>
        <v>39475548.216719836</v>
      </c>
      <c r="Q209" s="100">
        <f t="shared" si="7"/>
        <v>34965967.11781095</v>
      </c>
      <c r="R209" s="100">
        <f t="shared" si="7"/>
        <v>32950601.364437208</v>
      </c>
      <c r="S209" s="100">
        <f t="shared" si="7"/>
        <v>30107174.36578574</v>
      </c>
      <c r="T209" s="100">
        <f t="shared" si="7"/>
        <v>30629951.86277131</v>
      </c>
      <c r="U209" s="100">
        <f t="shared" si="7"/>
        <v>32840432.010745272</v>
      </c>
    </row>
    <row r="210" spans="2:21">
      <c r="B210" s="102" t="s">
        <v>333</v>
      </c>
      <c r="C210" s="148" t="s">
        <v>279</v>
      </c>
      <c r="D210" s="148" t="s">
        <v>5</v>
      </c>
      <c r="E210" s="148" t="s">
        <v>177</v>
      </c>
      <c r="F210" s="148" t="s">
        <v>195</v>
      </c>
      <c r="G210" s="148" t="s">
        <v>195</v>
      </c>
      <c r="H210" s="148" t="s">
        <v>197</v>
      </c>
      <c r="I210" s="100">
        <f t="shared" si="9"/>
        <v>3622258.3859375762</v>
      </c>
      <c r="J210" s="100">
        <f t="shared" si="7"/>
        <v>265480.55074408127</v>
      </c>
      <c r="K210" s="100">
        <f t="shared" si="7"/>
        <v>280290.81119274034</v>
      </c>
      <c r="L210" s="100">
        <f t="shared" si="7"/>
        <v>298193.83732137299</v>
      </c>
      <c r="M210" s="100">
        <f t="shared" si="7"/>
        <v>317271.95778887189</v>
      </c>
      <c r="N210" s="100">
        <f t="shared" si="7"/>
        <v>332946.51820457965</v>
      </c>
      <c r="O210" s="100">
        <f t="shared" si="7"/>
        <v>312516.51051786228</v>
      </c>
      <c r="P210" s="100">
        <f t="shared" si="7"/>
        <v>300466.62912186503</v>
      </c>
      <c r="Q210" s="100">
        <f t="shared" si="7"/>
        <v>306208.65925504087</v>
      </c>
      <c r="R210" s="100">
        <f t="shared" si="7"/>
        <v>302100.71912786749</v>
      </c>
      <c r="S210" s="100">
        <f t="shared" si="7"/>
        <v>281016.76815818029</v>
      </c>
      <c r="T210" s="100">
        <f t="shared" si="7"/>
        <v>342814.78487295238</v>
      </c>
      <c r="U210" s="100">
        <f t="shared" si="7"/>
        <v>282950.63963216229</v>
      </c>
    </row>
    <row r="211" spans="2:21">
      <c r="B211" s="102" t="s">
        <v>333</v>
      </c>
      <c r="C211" s="148" t="s">
        <v>279</v>
      </c>
      <c r="D211" s="148" t="s">
        <v>5</v>
      </c>
      <c r="E211" s="148" t="s">
        <v>177</v>
      </c>
      <c r="F211" s="148" t="s">
        <v>195</v>
      </c>
      <c r="G211" s="148" t="s">
        <v>195</v>
      </c>
      <c r="H211" s="148" t="s">
        <v>198</v>
      </c>
      <c r="I211" s="100">
        <f t="shared" si="9"/>
        <v>6659534.4338027984</v>
      </c>
      <c r="J211" s="100">
        <f t="shared" si="7"/>
        <v>592784.4981130719</v>
      </c>
      <c r="K211" s="100">
        <f t="shared" si="7"/>
        <v>724879.87352734676</v>
      </c>
      <c r="L211" s="100">
        <f t="shared" si="7"/>
        <v>680723.17087583872</v>
      </c>
      <c r="M211" s="100">
        <f t="shared" si="7"/>
        <v>565612.18220175814</v>
      </c>
      <c r="N211" s="100">
        <f t="shared" si="7"/>
        <v>601753.74794206885</v>
      </c>
      <c r="O211" s="100">
        <f t="shared" si="7"/>
        <v>604163.61948082666</v>
      </c>
      <c r="P211" s="100">
        <f t="shared" si="7"/>
        <v>584023.99232146109</v>
      </c>
      <c r="Q211" s="100">
        <f t="shared" si="7"/>
        <v>515058.94115434354</v>
      </c>
      <c r="R211" s="100">
        <f t="shared" si="7"/>
        <v>448109.74501661188</v>
      </c>
      <c r="S211" s="100">
        <f t="shared" si="7"/>
        <v>419776.68837134732</v>
      </c>
      <c r="T211" s="100">
        <f t="shared" si="7"/>
        <v>505635.81309833546</v>
      </c>
      <c r="U211" s="100">
        <f t="shared" si="7"/>
        <v>417012.16169978713</v>
      </c>
    </row>
    <row r="212" spans="2:21">
      <c r="B212" s="102" t="s">
        <v>333</v>
      </c>
      <c r="C212" s="148" t="s">
        <v>279</v>
      </c>
      <c r="D212" s="148" t="s">
        <v>7</v>
      </c>
      <c r="E212" s="148" t="s">
        <v>176</v>
      </c>
      <c r="F212" s="148" t="s">
        <v>195</v>
      </c>
      <c r="G212" s="148" t="s">
        <v>195</v>
      </c>
      <c r="H212" s="148" t="s">
        <v>197</v>
      </c>
      <c r="I212" s="100">
        <f t="shared" si="9"/>
        <v>34551148.671501786</v>
      </c>
      <c r="J212" s="100">
        <f t="shared" si="7"/>
        <v>2936839.479392624</v>
      </c>
      <c r="K212" s="100">
        <f t="shared" si="7"/>
        <v>2966379.6095444681</v>
      </c>
      <c r="L212" s="100">
        <f t="shared" si="7"/>
        <v>3054000.1668613381</v>
      </c>
      <c r="M212" s="100">
        <f t="shared" si="7"/>
        <v>3262440.1802102453</v>
      </c>
      <c r="N212" s="100">
        <f t="shared" si="7"/>
        <v>2912459.8698481573</v>
      </c>
      <c r="O212" s="100">
        <f t="shared" si="7"/>
        <v>2878620.0567328553</v>
      </c>
      <c r="P212" s="100">
        <f t="shared" si="7"/>
        <v>2757495.5424084053</v>
      </c>
      <c r="Q212" s="100">
        <f t="shared" si="7"/>
        <v>2776444.5634757914</v>
      </c>
      <c r="R212" s="100">
        <f t="shared" si="7"/>
        <v>2760980.1121876589</v>
      </c>
      <c r="S212" s="100">
        <f t="shared" si="7"/>
        <v>2738139.7246302902</v>
      </c>
      <c r="T212" s="100">
        <f t="shared" si="7"/>
        <v>2772709.1354961772</v>
      </c>
      <c r="U212" s="100">
        <f t="shared" si="7"/>
        <v>2734640.2307137721</v>
      </c>
    </row>
    <row r="213" spans="2:21">
      <c r="B213" s="102" t="s">
        <v>333</v>
      </c>
      <c r="C213" s="148" t="s">
        <v>279</v>
      </c>
      <c r="D213" s="148" t="s">
        <v>7</v>
      </c>
      <c r="E213" s="148" t="s">
        <v>176</v>
      </c>
      <c r="F213" s="148" t="s">
        <v>195</v>
      </c>
      <c r="G213" s="148" t="s">
        <v>195</v>
      </c>
      <c r="H213" s="148" t="s">
        <v>198</v>
      </c>
      <c r="I213" s="100">
        <f t="shared" si="9"/>
        <v>52700866.28859859</v>
      </c>
      <c r="J213" s="100">
        <f t="shared" si="7"/>
        <v>4514520.1238390096</v>
      </c>
      <c r="K213" s="100">
        <f t="shared" si="7"/>
        <v>4705560.5536332168</v>
      </c>
      <c r="L213" s="100">
        <f t="shared" si="7"/>
        <v>4810940.4480058271</v>
      </c>
      <c r="M213" s="100">
        <f t="shared" si="7"/>
        <v>5712160.8085958855</v>
      </c>
      <c r="N213" s="100">
        <f t="shared" si="7"/>
        <v>4679039.7013294464</v>
      </c>
      <c r="O213" s="100">
        <f t="shared" si="7"/>
        <v>4530439.6284829723</v>
      </c>
      <c r="P213" s="100">
        <f t="shared" si="7"/>
        <v>3817144.3666615882</v>
      </c>
      <c r="Q213" s="100">
        <f t="shared" si="7"/>
        <v>3952731.3813609476</v>
      </c>
      <c r="R213" s="100">
        <f t="shared" si="7"/>
        <v>4247080.0966363121</v>
      </c>
      <c r="S213" s="100">
        <f t="shared" si="7"/>
        <v>4082599.7026574984</v>
      </c>
      <c r="T213" s="100">
        <f t="shared" si="7"/>
        <v>3878988.9768518135</v>
      </c>
      <c r="U213" s="100">
        <f t="shared" si="7"/>
        <v>3769660.5005440703</v>
      </c>
    </row>
    <row r="214" spans="2:21">
      <c r="B214" s="102" t="s">
        <v>333</v>
      </c>
      <c r="C214" s="148" t="s">
        <v>279</v>
      </c>
      <c r="D214" s="148" t="s">
        <v>7</v>
      </c>
      <c r="E214" s="148" t="s">
        <v>177</v>
      </c>
      <c r="F214" s="148" t="s">
        <v>195</v>
      </c>
      <c r="G214" s="148" t="s">
        <v>195</v>
      </c>
      <c r="H214" s="148" t="s">
        <v>197</v>
      </c>
      <c r="I214" s="100">
        <f t="shared" si="9"/>
        <v>176399.85621714281</v>
      </c>
      <c r="J214" s="100">
        <f t="shared" si="7"/>
        <v>0</v>
      </c>
      <c r="K214" s="100">
        <f t="shared" si="7"/>
        <v>0</v>
      </c>
      <c r="L214" s="100">
        <f t="shared" si="7"/>
        <v>9600.033372267646</v>
      </c>
      <c r="M214" s="100">
        <f t="shared" si="7"/>
        <v>16799.933255464712</v>
      </c>
      <c r="N214" s="100">
        <f t="shared" si="7"/>
        <v>20399.966627732356</v>
      </c>
      <c r="O214" s="100">
        <f t="shared" si="7"/>
        <v>20399.966627732356</v>
      </c>
      <c r="P214" s="100">
        <f t="shared" si="7"/>
        <v>21600.033372267648</v>
      </c>
      <c r="Q214" s="100">
        <f t="shared" si="7"/>
        <v>21600.004753690344</v>
      </c>
      <c r="R214" s="100">
        <f t="shared" si="7"/>
        <v>18000</v>
      </c>
      <c r="S214" s="100">
        <f t="shared" si="7"/>
        <v>16799.932007479179</v>
      </c>
      <c r="T214" s="100">
        <f t="shared" si="7"/>
        <v>14399.986200508571</v>
      </c>
      <c r="U214" s="100">
        <f t="shared" si="7"/>
        <v>16800</v>
      </c>
    </row>
    <row r="215" spans="2:21">
      <c r="B215" s="102" t="s">
        <v>333</v>
      </c>
      <c r="C215" s="148" t="s">
        <v>152</v>
      </c>
      <c r="D215" s="148" t="s">
        <v>179</v>
      </c>
      <c r="E215" s="148" t="s">
        <v>195</v>
      </c>
      <c r="F215" s="148" t="s">
        <v>195</v>
      </c>
      <c r="G215" s="148" t="s">
        <v>195</v>
      </c>
      <c r="H215" s="148" t="s">
        <v>6</v>
      </c>
      <c r="I215" s="100">
        <f t="shared" si="9"/>
        <v>163418487.16573825</v>
      </c>
      <c r="J215" s="100">
        <f t="shared" si="7"/>
        <v>33041946.112585962</v>
      </c>
      <c r="K215" s="100">
        <f t="shared" si="7"/>
        <v>35808654.754743263</v>
      </c>
      <c r="L215" s="100">
        <f t="shared" si="7"/>
        <v>28040255.047279563</v>
      </c>
      <c r="M215" s="100">
        <f t="shared" si="7"/>
        <v>15839209.477030998</v>
      </c>
      <c r="N215" s="100">
        <f t="shared" si="7"/>
        <v>4608879.0935672494</v>
      </c>
      <c r="O215" s="100">
        <f t="shared" si="7"/>
        <v>850167.54385965201</v>
      </c>
      <c r="P215" s="100">
        <f t="shared" si="7"/>
        <v>552067.93524566945</v>
      </c>
      <c r="Q215" s="100">
        <f t="shared" si="7"/>
        <v>532671.36329890345</v>
      </c>
      <c r="R215" s="100">
        <f t="shared" si="7"/>
        <v>2522598.9775631865</v>
      </c>
      <c r="S215" s="100">
        <f t="shared" ref="K215:U230" si="10">SUMIFS(S$149:S$187,$C$149:$C$187,$C215,$D$149:$D$187,$D215,$E$149:$E$187,$E215,$H$149:$H$187,$H215)+SUMIFS(S$189:S$193,$C$189:$C$193,$C215,$D$189:$D$193,$D215)*SUMIFS(S$149:S$187,$C$149:$C$187,$C215,$D$149:$D$187,$D215,$E$149:$E$187,$E215,$H$149:$H$187,$H215)/SUMIFS(S$149:S$187,$C$149:$C$187,$C215,$D$149:$D$187,$D215)</f>
        <v>9347050.6958250329</v>
      </c>
      <c r="T215" s="100">
        <f t="shared" si="10"/>
        <v>13853726.250913836</v>
      </c>
      <c r="U215" s="100">
        <f t="shared" si="10"/>
        <v>18421259.913824938</v>
      </c>
    </row>
    <row r="216" spans="2:21">
      <c r="B216" s="102" t="s">
        <v>333</v>
      </c>
      <c r="C216" s="148" t="s">
        <v>252</v>
      </c>
      <c r="D216" s="148" t="s">
        <v>7</v>
      </c>
      <c r="E216" s="148" t="s">
        <v>176</v>
      </c>
      <c r="F216" s="148" t="s">
        <v>195</v>
      </c>
      <c r="G216" s="148" t="s">
        <v>195</v>
      </c>
      <c r="H216" s="148" t="s">
        <v>207</v>
      </c>
      <c r="I216" s="100">
        <f t="shared" si="9"/>
        <v>750000</v>
      </c>
      <c r="J216" s="100">
        <f t="shared" si="7"/>
        <v>60000</v>
      </c>
      <c r="K216" s="100">
        <f t="shared" si="10"/>
        <v>70000</v>
      </c>
      <c r="L216" s="100">
        <f t="shared" si="10"/>
        <v>68000</v>
      </c>
      <c r="M216" s="100">
        <f t="shared" si="10"/>
        <v>67000</v>
      </c>
      <c r="N216" s="100">
        <f t="shared" si="10"/>
        <v>63000</v>
      </c>
      <c r="O216" s="100">
        <f t="shared" si="10"/>
        <v>55000.000000000007</v>
      </c>
      <c r="P216" s="100">
        <f t="shared" si="10"/>
        <v>153000</v>
      </c>
      <c r="Q216" s="100">
        <f t="shared" si="10"/>
        <v>46000.000000000007</v>
      </c>
      <c r="R216" s="100">
        <f t="shared" si="10"/>
        <v>52000</v>
      </c>
      <c r="S216" s="100">
        <f t="shared" si="10"/>
        <v>36000</v>
      </c>
      <c r="T216" s="100">
        <f t="shared" si="10"/>
        <v>43999.999999999993</v>
      </c>
      <c r="U216" s="100">
        <f t="shared" si="10"/>
        <v>35999.999999999993</v>
      </c>
    </row>
    <row r="217" spans="2:21">
      <c r="B217" s="102" t="s">
        <v>333</v>
      </c>
      <c r="C217" s="148" t="s">
        <v>252</v>
      </c>
      <c r="D217" s="148" t="s">
        <v>7</v>
      </c>
      <c r="E217" s="148" t="s">
        <v>176</v>
      </c>
      <c r="F217" s="148" t="s">
        <v>195</v>
      </c>
      <c r="G217" s="148" t="s">
        <v>195</v>
      </c>
      <c r="H217" s="148" t="s">
        <v>208</v>
      </c>
      <c r="I217" s="100">
        <f t="shared" si="9"/>
        <v>927000</v>
      </c>
      <c r="J217" s="100">
        <f t="shared" si="7"/>
        <v>62999.999999999993</v>
      </c>
      <c r="K217" s="100">
        <f t="shared" si="10"/>
        <v>103000</v>
      </c>
      <c r="L217" s="100">
        <f t="shared" si="10"/>
        <v>102000</v>
      </c>
      <c r="M217" s="100">
        <f t="shared" si="10"/>
        <v>52000</v>
      </c>
      <c r="N217" s="100">
        <f t="shared" si="10"/>
        <v>74000</v>
      </c>
      <c r="O217" s="100">
        <f t="shared" si="10"/>
        <v>77000</v>
      </c>
      <c r="P217" s="100">
        <f t="shared" si="10"/>
        <v>219000</v>
      </c>
      <c r="Q217" s="100">
        <f t="shared" si="10"/>
        <v>55000.000000000007</v>
      </c>
      <c r="R217" s="100">
        <f t="shared" si="10"/>
        <v>50000</v>
      </c>
      <c r="S217" s="100">
        <f t="shared" si="10"/>
        <v>35000</v>
      </c>
      <c r="T217" s="100">
        <f t="shared" si="10"/>
        <v>40999.999999999993</v>
      </c>
      <c r="U217" s="100">
        <f t="shared" si="10"/>
        <v>56000</v>
      </c>
    </row>
    <row r="218" spans="2:21">
      <c r="B218" s="102" t="s">
        <v>333</v>
      </c>
      <c r="C218" s="148" t="s">
        <v>172</v>
      </c>
      <c r="D218" s="148" t="s">
        <v>5</v>
      </c>
      <c r="E218" s="148" t="s">
        <v>176</v>
      </c>
      <c r="F218" s="148" t="s">
        <v>195</v>
      </c>
      <c r="G218" s="148" t="s">
        <v>195</v>
      </c>
      <c r="H218" s="148" t="s">
        <v>207</v>
      </c>
      <c r="I218" s="100">
        <f t="shared" ref="I218:I230" si="11">SUM(J218:V218)</f>
        <v>49153349.825124249</v>
      </c>
      <c r="J218" s="100">
        <f t="shared" si="7"/>
        <v>4270312.2184463236</v>
      </c>
      <c r="K218" s="100">
        <f t="shared" si="10"/>
        <v>4163186.7124442765</v>
      </c>
      <c r="L218" s="100">
        <f t="shared" si="10"/>
        <v>4227159.5454999702</v>
      </c>
      <c r="M218" s="100">
        <f t="shared" si="10"/>
        <v>4644117.2503544381</v>
      </c>
      <c r="N218" s="100">
        <f t="shared" si="10"/>
        <v>4933080.7694660686</v>
      </c>
      <c r="O218" s="100">
        <f t="shared" si="10"/>
        <v>4703424.7381990533</v>
      </c>
      <c r="P218" s="100">
        <f t="shared" si="10"/>
        <v>3866734.795827521</v>
      </c>
      <c r="Q218" s="100">
        <f t="shared" si="10"/>
        <v>3773173.9875640604</v>
      </c>
      <c r="R218" s="100">
        <f t="shared" si="10"/>
        <v>3756470.4031548444</v>
      </c>
      <c r="S218" s="100">
        <f t="shared" si="10"/>
        <v>3551793.1836941871</v>
      </c>
      <c r="T218" s="100">
        <f t="shared" si="10"/>
        <v>3619990.2802257468</v>
      </c>
      <c r="U218" s="100">
        <f t="shared" si="10"/>
        <v>3643905.9402477699</v>
      </c>
    </row>
    <row r="219" spans="2:21">
      <c r="B219" s="102" t="s">
        <v>333</v>
      </c>
      <c r="C219" s="148" t="s">
        <v>172</v>
      </c>
      <c r="D219" s="148" t="s">
        <v>5</v>
      </c>
      <c r="E219" s="148" t="s">
        <v>176</v>
      </c>
      <c r="F219" s="148" t="s">
        <v>195</v>
      </c>
      <c r="G219" s="148" t="s">
        <v>195</v>
      </c>
      <c r="H219" s="148" t="s">
        <v>208</v>
      </c>
      <c r="I219" s="100">
        <f t="shared" si="11"/>
        <v>74269628.808923334</v>
      </c>
      <c r="J219" s="100">
        <f t="shared" si="7"/>
        <v>7621264.9719773745</v>
      </c>
      <c r="K219" s="100">
        <f t="shared" si="10"/>
        <v>7486993.5234456984</v>
      </c>
      <c r="L219" s="100">
        <f t="shared" si="10"/>
        <v>7585437.2422985816</v>
      </c>
      <c r="M219" s="100">
        <f t="shared" si="10"/>
        <v>7561345.1140365619</v>
      </c>
      <c r="N219" s="100">
        <f t="shared" si="10"/>
        <v>6685261.5302020404</v>
      </c>
      <c r="O219" s="100">
        <f t="shared" si="10"/>
        <v>6461275.5086163962</v>
      </c>
      <c r="P219" s="100">
        <f t="shared" si="10"/>
        <v>5309136.7111109728</v>
      </c>
      <c r="Q219" s="100">
        <f t="shared" si="10"/>
        <v>5157392.3428198453</v>
      </c>
      <c r="R219" s="100">
        <f t="shared" si="10"/>
        <v>5100952.9103743453</v>
      </c>
      <c r="S219" s="100">
        <f t="shared" si="10"/>
        <v>4800024.7477506055</v>
      </c>
      <c r="T219" s="100">
        <f t="shared" si="10"/>
        <v>4876853.0768103683</v>
      </c>
      <c r="U219" s="100">
        <f t="shared" si="10"/>
        <v>5623691.129480538</v>
      </c>
    </row>
    <row r="220" spans="2:21">
      <c r="B220" s="102" t="s">
        <v>333</v>
      </c>
      <c r="C220" s="148" t="s">
        <v>172</v>
      </c>
      <c r="D220" s="148" t="s">
        <v>5</v>
      </c>
      <c r="E220" s="148" t="s">
        <v>177</v>
      </c>
      <c r="F220" s="148" t="s">
        <v>195</v>
      </c>
      <c r="G220" s="148" t="s">
        <v>195</v>
      </c>
      <c r="H220" s="148" t="s">
        <v>207</v>
      </c>
      <c r="I220" s="100">
        <f t="shared" si="11"/>
        <v>20677549.9030241</v>
      </c>
      <c r="J220" s="100">
        <f t="shared" si="7"/>
        <v>1770122.0031491765</v>
      </c>
      <c r="K220" s="100">
        <f t="shared" si="10"/>
        <v>1897537.3375367254</v>
      </c>
      <c r="L220" s="100">
        <f t="shared" si="10"/>
        <v>1631796.7042778896</v>
      </c>
      <c r="M220" s="100">
        <f t="shared" si="10"/>
        <v>1718240.6875087859</v>
      </c>
      <c r="N220" s="100">
        <f t="shared" si="10"/>
        <v>1818443.3800916134</v>
      </c>
      <c r="O220" s="100">
        <f t="shared" si="10"/>
        <v>2007903.6318972025</v>
      </c>
      <c r="P220" s="100">
        <f t="shared" si="10"/>
        <v>1796695.8662231094</v>
      </c>
      <c r="Q220" s="100">
        <f t="shared" si="10"/>
        <v>1750886.6260032021</v>
      </c>
      <c r="R220" s="100">
        <f t="shared" si="10"/>
        <v>1639203.2252104301</v>
      </c>
      <c r="S220" s="100">
        <f t="shared" si="10"/>
        <v>1555572.8020604155</v>
      </c>
      <c r="T220" s="100">
        <f t="shared" si="10"/>
        <v>1570818.2491898802</v>
      </c>
      <c r="U220" s="100">
        <f t="shared" si="10"/>
        <v>1520329.3898756707</v>
      </c>
    </row>
    <row r="221" spans="2:21">
      <c r="B221" s="102" t="s">
        <v>333</v>
      </c>
      <c r="C221" s="148" t="s">
        <v>172</v>
      </c>
      <c r="D221" s="148" t="s">
        <v>5</v>
      </c>
      <c r="E221" s="148" t="s">
        <v>177</v>
      </c>
      <c r="F221" s="148" t="s">
        <v>195</v>
      </c>
      <c r="G221" s="148" t="s">
        <v>195</v>
      </c>
      <c r="H221" s="148" t="s">
        <v>208</v>
      </c>
      <c r="I221" s="100">
        <f t="shared" si="11"/>
        <v>30762665.039901745</v>
      </c>
      <c r="J221" s="100">
        <f t="shared" si="7"/>
        <v>3054664.8207297451</v>
      </c>
      <c r="K221" s="100">
        <f t="shared" si="10"/>
        <v>3278703.3977971091</v>
      </c>
      <c r="L221" s="100">
        <f t="shared" si="10"/>
        <v>2856853.0599652245</v>
      </c>
      <c r="M221" s="100">
        <f t="shared" si="10"/>
        <v>2749004.0745890369</v>
      </c>
      <c r="N221" s="100">
        <f t="shared" si="10"/>
        <v>2439270.922680934</v>
      </c>
      <c r="O221" s="100">
        <f t="shared" si="10"/>
        <v>2697645.6424791683</v>
      </c>
      <c r="P221" s="100">
        <f t="shared" si="10"/>
        <v>2434072.9298178758</v>
      </c>
      <c r="Q221" s="100">
        <f t="shared" si="10"/>
        <v>2367496.8247011681</v>
      </c>
      <c r="R221" s="100">
        <f t="shared" si="10"/>
        <v>2256361.0985533739</v>
      </c>
      <c r="S221" s="100">
        <f t="shared" si="10"/>
        <v>2152173.8920857306</v>
      </c>
      <c r="T221" s="100">
        <f t="shared" si="10"/>
        <v>2174859.5042210501</v>
      </c>
      <c r="U221" s="100">
        <f t="shared" si="10"/>
        <v>2301558.8722813232</v>
      </c>
    </row>
    <row r="222" spans="2:21">
      <c r="B222" s="102" t="s">
        <v>333</v>
      </c>
      <c r="C222" s="148" t="s">
        <v>172</v>
      </c>
      <c r="D222" s="148" t="s">
        <v>7</v>
      </c>
      <c r="E222" s="148" t="s">
        <v>176</v>
      </c>
      <c r="F222" s="148" t="s">
        <v>195</v>
      </c>
      <c r="G222" s="148" t="s">
        <v>195</v>
      </c>
      <c r="H222" s="148" t="s">
        <v>207</v>
      </c>
      <c r="I222" s="100">
        <f t="shared" si="11"/>
        <v>77212653.977065504</v>
      </c>
      <c r="J222" s="100">
        <f t="shared" si="7"/>
        <v>5981099.9818544723</v>
      </c>
      <c r="K222" s="100">
        <f t="shared" si="10"/>
        <v>5502800.2177463248</v>
      </c>
      <c r="L222" s="100">
        <f t="shared" si="10"/>
        <v>5806950.4627109431</v>
      </c>
      <c r="M222" s="100">
        <f t="shared" si="10"/>
        <v>6679700.4173471248</v>
      </c>
      <c r="N222" s="100">
        <f t="shared" si="10"/>
        <v>7459900.0181455277</v>
      </c>
      <c r="O222" s="100">
        <f t="shared" si="10"/>
        <v>6717500.272182907</v>
      </c>
      <c r="P222" s="100">
        <f t="shared" si="10"/>
        <v>6435449.8676014375</v>
      </c>
      <c r="Q222" s="100">
        <f t="shared" si="10"/>
        <v>6593900.9282419104</v>
      </c>
      <c r="R222" s="100">
        <f t="shared" si="10"/>
        <v>6660550.9713228494</v>
      </c>
      <c r="S222" s="100">
        <f t="shared" si="10"/>
        <v>6835050.8788159098</v>
      </c>
      <c r="T222" s="100">
        <f t="shared" si="10"/>
        <v>6671899.8759172084</v>
      </c>
      <c r="U222" s="100">
        <f t="shared" si="10"/>
        <v>5867850.0851788763</v>
      </c>
    </row>
    <row r="223" spans="2:21">
      <c r="B223" s="102" t="s">
        <v>333</v>
      </c>
      <c r="C223" s="148" t="s">
        <v>172</v>
      </c>
      <c r="D223" s="148" t="s">
        <v>7</v>
      </c>
      <c r="E223" s="148" t="s">
        <v>176</v>
      </c>
      <c r="F223" s="148" t="s">
        <v>195</v>
      </c>
      <c r="G223" s="148" t="s">
        <v>195</v>
      </c>
      <c r="H223" s="148" t="s">
        <v>208</v>
      </c>
      <c r="I223" s="100">
        <f t="shared" si="11"/>
        <v>121576649.19191363</v>
      </c>
      <c r="J223" s="100">
        <f t="shared" si="7"/>
        <v>11942100.043687198</v>
      </c>
      <c r="K223" s="100">
        <f t="shared" si="10"/>
        <v>10897600.480559196</v>
      </c>
      <c r="L223" s="100">
        <f t="shared" si="10"/>
        <v>11450200.0873744</v>
      </c>
      <c r="M223" s="100">
        <f t="shared" si="10"/>
        <v>10292150.065530799</v>
      </c>
      <c r="N223" s="100">
        <f t="shared" si="10"/>
        <v>10471200.305810399</v>
      </c>
      <c r="O223" s="100">
        <f t="shared" si="10"/>
        <v>9436850.1529051978</v>
      </c>
      <c r="P223" s="100">
        <f t="shared" si="10"/>
        <v>8911049.9205385335</v>
      </c>
      <c r="Q223" s="100">
        <f t="shared" si="10"/>
        <v>9327799.6660547331</v>
      </c>
      <c r="R223" s="100">
        <f t="shared" si="10"/>
        <v>9346349.7316636853</v>
      </c>
      <c r="S223" s="100">
        <f t="shared" si="10"/>
        <v>9608300.0894454382</v>
      </c>
      <c r="T223" s="100">
        <f t="shared" si="10"/>
        <v>9325749.4086626694</v>
      </c>
      <c r="U223" s="100">
        <f t="shared" si="10"/>
        <v>10567299.239681387</v>
      </c>
    </row>
    <row r="224" spans="2:21">
      <c r="B224" s="102" t="s">
        <v>333</v>
      </c>
      <c r="C224" s="148" t="s">
        <v>172</v>
      </c>
      <c r="D224" s="148" t="s">
        <v>7</v>
      </c>
      <c r="E224" s="148" t="s">
        <v>177</v>
      </c>
      <c r="F224" s="148" t="s">
        <v>195</v>
      </c>
      <c r="G224" s="148" t="s">
        <v>195</v>
      </c>
      <c r="H224" s="148" t="s">
        <v>207</v>
      </c>
      <c r="I224" s="100">
        <f t="shared" si="11"/>
        <v>167400.11911145085</v>
      </c>
      <c r="J224" s="100">
        <f t="shared" si="7"/>
        <v>8999.9999999999982</v>
      </c>
      <c r="K224" s="100">
        <f t="shared" si="10"/>
        <v>8999.9999999999982</v>
      </c>
      <c r="L224" s="100">
        <f t="shared" si="10"/>
        <v>8999.9999999999982</v>
      </c>
      <c r="M224" s="100">
        <f t="shared" si="10"/>
        <v>10800.036690515502</v>
      </c>
      <c r="N224" s="100">
        <f t="shared" si="10"/>
        <v>14399.926618968997</v>
      </c>
      <c r="O224" s="100">
        <f t="shared" si="10"/>
        <v>17999.999999999996</v>
      </c>
      <c r="P224" s="100">
        <f t="shared" si="10"/>
        <v>19800.036690515499</v>
      </c>
      <c r="Q224" s="100">
        <f t="shared" si="10"/>
        <v>18000.142128554435</v>
      </c>
      <c r="R224" s="100">
        <f t="shared" si="10"/>
        <v>18000</v>
      </c>
      <c r="S224" s="100">
        <f t="shared" si="10"/>
        <v>14400</v>
      </c>
      <c r="T224" s="100">
        <f t="shared" si="10"/>
        <v>14400.008247551727</v>
      </c>
      <c r="U224" s="100">
        <f t="shared" si="10"/>
        <v>12599.968735344693</v>
      </c>
    </row>
    <row r="225" spans="2:21">
      <c r="B225" s="102" t="s">
        <v>333</v>
      </c>
      <c r="C225" s="148" t="s">
        <v>172</v>
      </c>
      <c r="D225" s="148" t="s">
        <v>7</v>
      </c>
      <c r="E225" s="148" t="s">
        <v>177</v>
      </c>
      <c r="F225" s="148" t="s">
        <v>195</v>
      </c>
      <c r="G225" s="148" t="s">
        <v>195</v>
      </c>
      <c r="H225" s="148" t="s">
        <v>208</v>
      </c>
      <c r="I225" s="100">
        <f t="shared" si="11"/>
        <v>266399.6814608078</v>
      </c>
      <c r="J225" s="100">
        <f t="shared" si="7"/>
        <v>19799.911465250112</v>
      </c>
      <c r="K225" s="100">
        <f t="shared" si="10"/>
        <v>18000</v>
      </c>
      <c r="L225" s="100">
        <f t="shared" si="10"/>
        <v>19799.911465250112</v>
      </c>
      <c r="M225" s="100">
        <f t="shared" si="10"/>
        <v>21600.044267374946</v>
      </c>
      <c r="N225" s="100">
        <f t="shared" si="10"/>
        <v>19799.911465250112</v>
      </c>
      <c r="O225" s="100">
        <f t="shared" si="10"/>
        <v>25200.088534749888</v>
      </c>
      <c r="P225" s="100">
        <f t="shared" si="10"/>
        <v>28799.911465250112</v>
      </c>
      <c r="Q225" s="100">
        <f t="shared" si="10"/>
        <v>25199.921779588607</v>
      </c>
      <c r="R225" s="100">
        <f t="shared" si="10"/>
        <v>25199.909338168629</v>
      </c>
      <c r="S225" s="100">
        <f t="shared" si="10"/>
        <v>21599.954669084316</v>
      </c>
      <c r="T225" s="100">
        <f t="shared" si="10"/>
        <v>21600.153614062008</v>
      </c>
      <c r="U225" s="100">
        <f t="shared" si="10"/>
        <v>19799.963396778916</v>
      </c>
    </row>
    <row r="226" spans="2:21">
      <c r="B226" s="102" t="s">
        <v>333</v>
      </c>
      <c r="C226" s="148" t="s">
        <v>287</v>
      </c>
      <c r="D226" s="148" t="s">
        <v>7</v>
      </c>
      <c r="E226" s="148" t="s">
        <v>177</v>
      </c>
      <c r="F226" s="148" t="s">
        <v>195</v>
      </c>
      <c r="G226" s="148" t="s">
        <v>195</v>
      </c>
      <c r="H226" s="148" t="s">
        <v>207</v>
      </c>
      <c r="I226" s="100">
        <f t="shared" si="11"/>
        <v>210164400.0636223</v>
      </c>
      <c r="J226" s="100">
        <f t="shared" si="7"/>
        <v>15346799.925691992</v>
      </c>
      <c r="K226" s="100">
        <f t="shared" si="10"/>
        <v>15350399.962845996</v>
      </c>
      <c r="L226" s="100">
        <f t="shared" si="10"/>
        <v>15530399.962845996</v>
      </c>
      <c r="M226" s="100">
        <f t="shared" si="10"/>
        <v>14734799.925691994</v>
      </c>
      <c r="N226" s="100">
        <f t="shared" si="10"/>
        <v>18835200.074308004</v>
      </c>
      <c r="O226" s="100">
        <f t="shared" si="10"/>
        <v>18417600.037154004</v>
      </c>
      <c r="P226" s="100">
        <f t="shared" si="10"/>
        <v>19529999.999999996</v>
      </c>
      <c r="Q226" s="100">
        <f t="shared" si="10"/>
        <v>19339200.074308004</v>
      </c>
      <c r="R226" s="100">
        <f t="shared" si="10"/>
        <v>17888399.9244713</v>
      </c>
      <c r="S226" s="100">
        <f t="shared" si="10"/>
        <v>17830800.037764352</v>
      </c>
      <c r="T226" s="100">
        <f t="shared" si="10"/>
        <v>17859600.0755287</v>
      </c>
      <c r="U226" s="100">
        <f t="shared" si="10"/>
        <v>19501200.063011974</v>
      </c>
    </row>
    <row r="227" spans="2:21">
      <c r="B227" s="102" t="s">
        <v>333</v>
      </c>
      <c r="C227" s="148" t="s">
        <v>287</v>
      </c>
      <c r="D227" s="148" t="s">
        <v>7</v>
      </c>
      <c r="E227" s="148" t="s">
        <v>177</v>
      </c>
      <c r="F227" s="148" t="s">
        <v>195</v>
      </c>
      <c r="G227" s="148" t="s">
        <v>195</v>
      </c>
      <c r="H227" s="148" t="s">
        <v>208</v>
      </c>
      <c r="I227" s="100">
        <f t="shared" si="11"/>
        <v>330066000</v>
      </c>
      <c r="J227" s="100">
        <f t="shared" si="7"/>
        <v>30672000</v>
      </c>
      <c r="K227" s="100">
        <f t="shared" si="10"/>
        <v>30376800.000000004</v>
      </c>
      <c r="L227" s="100">
        <f t="shared" si="10"/>
        <v>31071600</v>
      </c>
      <c r="M227" s="100">
        <f t="shared" si="10"/>
        <v>29523600</v>
      </c>
      <c r="N227" s="100">
        <f t="shared" si="10"/>
        <v>26348400.000000004</v>
      </c>
      <c r="O227" s="100">
        <f t="shared" si="10"/>
        <v>25696800.000000004</v>
      </c>
      <c r="P227" s="100">
        <f t="shared" si="10"/>
        <v>27352800.000000004</v>
      </c>
      <c r="Q227" s="100">
        <f t="shared" si="10"/>
        <v>26928000</v>
      </c>
      <c r="R227" s="100">
        <f t="shared" si="10"/>
        <v>25088399.954159979</v>
      </c>
      <c r="S227" s="100">
        <f t="shared" si="10"/>
        <v>25045200.091680039</v>
      </c>
      <c r="T227" s="100">
        <f t="shared" si="10"/>
        <v>24728399.954159983</v>
      </c>
      <c r="U227" s="100">
        <f t="shared" si="10"/>
        <v>27234000.000000004</v>
      </c>
    </row>
    <row r="228" spans="2:21">
      <c r="B228" s="102" t="s">
        <v>333</v>
      </c>
      <c r="C228" s="148" t="s">
        <v>169</v>
      </c>
      <c r="D228" s="148" t="s">
        <v>4</v>
      </c>
      <c r="E228" s="148" t="s">
        <v>195</v>
      </c>
      <c r="F228" s="148" t="s">
        <v>195</v>
      </c>
      <c r="G228" s="148" t="s">
        <v>195</v>
      </c>
      <c r="H228" s="148" t="s">
        <v>6</v>
      </c>
      <c r="I228" s="100">
        <f t="shared" si="11"/>
        <v>877307.93333333358</v>
      </c>
      <c r="J228" s="100">
        <f t="shared" si="7"/>
        <v>73894.2</v>
      </c>
      <c r="K228" s="100">
        <f t="shared" si="10"/>
        <v>73699.06666666668</v>
      </c>
      <c r="L228" s="100">
        <f t="shared" si="10"/>
        <v>73716.7</v>
      </c>
      <c r="M228" s="100">
        <f t="shared" si="10"/>
        <v>73555.233333333337</v>
      </c>
      <c r="N228" s="100">
        <f t="shared" si="10"/>
        <v>73434.766666666663</v>
      </c>
      <c r="O228" s="100">
        <f t="shared" si="10"/>
        <v>73339.533333333326</v>
      </c>
      <c r="P228" s="100">
        <f t="shared" si="10"/>
        <v>73049.400000000038</v>
      </c>
      <c r="Q228" s="100">
        <f t="shared" si="10"/>
        <v>72374.766666666736</v>
      </c>
      <c r="R228" s="100">
        <f t="shared" si="10"/>
        <v>73170.233333333337</v>
      </c>
      <c r="S228" s="100">
        <f t="shared" si="10"/>
        <v>72954.3</v>
      </c>
      <c r="T228" s="100">
        <f t="shared" si="10"/>
        <v>71307.499999999985</v>
      </c>
      <c r="U228" s="100">
        <f t="shared" si="10"/>
        <v>72812.233333333337</v>
      </c>
    </row>
    <row r="229" spans="2:21">
      <c r="B229" s="102" t="s">
        <v>333</v>
      </c>
      <c r="C229" s="148" t="s">
        <v>169</v>
      </c>
      <c r="D229" s="148" t="s">
        <v>5</v>
      </c>
      <c r="E229" s="148" t="s">
        <v>195</v>
      </c>
      <c r="F229" s="148" t="s">
        <v>195</v>
      </c>
      <c r="G229" s="148" t="s">
        <v>195</v>
      </c>
      <c r="H229" s="148" t="s">
        <v>6</v>
      </c>
      <c r="I229" s="100">
        <f t="shared" si="11"/>
        <v>1836975.6</v>
      </c>
      <c r="J229" s="100">
        <f t="shared" si="7"/>
        <v>153879.56666666665</v>
      </c>
      <c r="K229" s="100">
        <f t="shared" si="10"/>
        <v>153989.93333333332</v>
      </c>
      <c r="L229" s="100">
        <f t="shared" si="10"/>
        <v>153804.93333333335</v>
      </c>
      <c r="M229" s="100">
        <f t="shared" si="10"/>
        <v>153658.09999999998</v>
      </c>
      <c r="N229" s="100">
        <f t="shared" si="10"/>
        <v>153992.23333333328</v>
      </c>
      <c r="O229" s="100">
        <f t="shared" si="10"/>
        <v>153959.80000000002</v>
      </c>
      <c r="P229" s="100">
        <f t="shared" si="10"/>
        <v>152720.13333333342</v>
      </c>
      <c r="Q229" s="100">
        <f t="shared" si="10"/>
        <v>150383.4666666667</v>
      </c>
      <c r="R229" s="100">
        <f t="shared" si="10"/>
        <v>153277.23333333334</v>
      </c>
      <c r="S229" s="100">
        <f t="shared" si="10"/>
        <v>153439.39999999994</v>
      </c>
      <c r="T229" s="100">
        <f t="shared" si="10"/>
        <v>150855.2999999999</v>
      </c>
      <c r="U229" s="100">
        <f t="shared" si="10"/>
        <v>153015.5</v>
      </c>
    </row>
    <row r="230" spans="2:21">
      <c r="B230" s="102" t="s">
        <v>333</v>
      </c>
      <c r="C230" s="148" t="s">
        <v>169</v>
      </c>
      <c r="D230" s="148" t="s">
        <v>7</v>
      </c>
      <c r="E230" s="148" t="s">
        <v>195</v>
      </c>
      <c r="F230" s="148" t="s">
        <v>195</v>
      </c>
      <c r="G230" s="148" t="s">
        <v>195</v>
      </c>
      <c r="H230" s="148" t="s">
        <v>6</v>
      </c>
      <c r="I230" s="100">
        <f t="shared" si="11"/>
        <v>121898.83333333334</v>
      </c>
      <c r="J230" s="100">
        <f t="shared" si="7"/>
        <v>10183</v>
      </c>
      <c r="K230" s="100">
        <f t="shared" si="10"/>
        <v>10183</v>
      </c>
      <c r="L230" s="100">
        <f t="shared" si="10"/>
        <v>10183</v>
      </c>
      <c r="M230" s="100">
        <f t="shared" si="10"/>
        <v>10183</v>
      </c>
      <c r="N230" s="100">
        <f t="shared" si="10"/>
        <v>10183</v>
      </c>
      <c r="O230" s="100">
        <f t="shared" si="10"/>
        <v>10190.6</v>
      </c>
      <c r="P230" s="100">
        <f t="shared" si="10"/>
        <v>10137.700000000001</v>
      </c>
      <c r="Q230" s="100">
        <f t="shared" si="10"/>
        <v>10017.433333333334</v>
      </c>
      <c r="R230" s="100">
        <f t="shared" si="10"/>
        <v>10183</v>
      </c>
      <c r="S230" s="100">
        <f t="shared" si="10"/>
        <v>10238.433333333332</v>
      </c>
      <c r="T230" s="100">
        <f t="shared" si="10"/>
        <v>10009.6</v>
      </c>
      <c r="U230" s="100">
        <f t="shared" si="10"/>
        <v>10207.066666666666</v>
      </c>
    </row>
    <row r="231" spans="2:21">
      <c r="B231" s="102" t="s">
        <v>333</v>
      </c>
      <c r="C231" s="148" t="s">
        <v>170</v>
      </c>
      <c r="D231" s="148" t="s">
        <v>167</v>
      </c>
      <c r="E231" s="148" t="s">
        <v>195</v>
      </c>
      <c r="F231" s="148" t="s">
        <v>195</v>
      </c>
      <c r="G231" s="148" t="s">
        <v>195</v>
      </c>
      <c r="H231" s="148" t="s">
        <v>6</v>
      </c>
      <c r="I231" s="100">
        <f t="shared" ref="I231:I232" si="12">SUM(J231:V231)</f>
        <v>1959801.2666666666</v>
      </c>
      <c r="J231" s="100">
        <f t="shared" si="7"/>
        <v>163006.46666666667</v>
      </c>
      <c r="K231" s="100">
        <f t="shared" ref="K231:U233" si="13">SUMIFS(K$149:K$187,$C$149:$C$187,$C231,$D$149:$D$187,$D231,$E$149:$E$187,$E231,$H$149:$H$187,$H231)+SUMIFS(K$189:K$193,$C$189:$C$193,$C231,$D$189:$D$193,$D231)*SUMIFS(K$149:K$187,$C$149:$C$187,$C231,$D$149:$D$187,$D231,$E$149:$E$187,$E231,$H$149:$H$187,$H231)/SUMIFS(K$149:K$187,$C$149:$C$187,$C231,$D$149:$D$187,$D231)</f>
        <v>163088.66666666666</v>
      </c>
      <c r="L231" s="100">
        <f t="shared" si="13"/>
        <v>162830.33333333331</v>
      </c>
      <c r="M231" s="100">
        <f t="shared" si="13"/>
        <v>162859.96666666665</v>
      </c>
      <c r="N231" s="100">
        <f t="shared" si="13"/>
        <v>163095.83333333334</v>
      </c>
      <c r="O231" s="100">
        <f t="shared" si="13"/>
        <v>164187.66666666669</v>
      </c>
      <c r="P231" s="100">
        <f t="shared" si="13"/>
        <v>162816.1333333333</v>
      </c>
      <c r="Q231" s="100">
        <f t="shared" si="13"/>
        <v>160283.76666666669</v>
      </c>
      <c r="R231" s="100">
        <f t="shared" si="13"/>
        <v>164197.9</v>
      </c>
      <c r="S231" s="100">
        <f t="shared" si="13"/>
        <v>164592.63333333333</v>
      </c>
      <c r="T231" s="100">
        <f t="shared" si="13"/>
        <v>164450.66666666666</v>
      </c>
      <c r="U231" s="100">
        <f t="shared" si="13"/>
        <v>164391.23333333334</v>
      </c>
    </row>
    <row r="232" spans="2:21">
      <c r="B232" s="102" t="s">
        <v>333</v>
      </c>
      <c r="C232" s="148" t="s">
        <v>227</v>
      </c>
      <c r="D232" s="148" t="s">
        <v>167</v>
      </c>
      <c r="E232" s="148" t="s">
        <v>195</v>
      </c>
      <c r="F232" s="148" t="s">
        <v>195</v>
      </c>
      <c r="G232" s="148" t="s">
        <v>195</v>
      </c>
      <c r="H232" s="148" t="s">
        <v>6</v>
      </c>
      <c r="I232" s="100">
        <f t="shared" si="12"/>
        <v>2111889.0151406806</v>
      </c>
      <c r="J232" s="100">
        <f t="shared" si="7"/>
        <v>158363.61702127676</v>
      </c>
      <c r="K232" s="100">
        <f t="shared" si="13"/>
        <v>162842.12765957462</v>
      </c>
      <c r="L232" s="100">
        <f t="shared" si="13"/>
        <v>169489.7872340426</v>
      </c>
      <c r="M232" s="100">
        <f t="shared" si="13"/>
        <v>176370.21276595755</v>
      </c>
      <c r="N232" s="100">
        <f t="shared" si="13"/>
        <v>186075.53191489371</v>
      </c>
      <c r="O232" s="100">
        <f t="shared" si="13"/>
        <v>198288.72340425549</v>
      </c>
      <c r="P232" s="100">
        <f t="shared" si="13"/>
        <v>197496.10062028089</v>
      </c>
      <c r="Q232" s="100">
        <f t="shared" si="13"/>
        <v>187005.58371957624</v>
      </c>
      <c r="R232" s="100">
        <f t="shared" si="13"/>
        <v>178879.33634992465</v>
      </c>
      <c r="S232" s="100">
        <f t="shared" si="13"/>
        <v>171695.3320424766</v>
      </c>
      <c r="T232" s="100">
        <f t="shared" si="13"/>
        <v>164700.59671370871</v>
      </c>
      <c r="U232" s="100">
        <f t="shared" si="13"/>
        <v>160682.06569471274</v>
      </c>
    </row>
    <row r="233" spans="2:21">
      <c r="B233" s="150" t="s">
        <v>333</v>
      </c>
      <c r="C233" s="151" t="s">
        <v>171</v>
      </c>
      <c r="D233" s="151" t="s">
        <v>5</v>
      </c>
      <c r="E233" s="151" t="s">
        <v>195</v>
      </c>
      <c r="F233" s="151" t="s">
        <v>195</v>
      </c>
      <c r="G233" s="151" t="s">
        <v>195</v>
      </c>
      <c r="H233" s="151" t="s">
        <v>6</v>
      </c>
      <c r="I233" s="152">
        <f>SUM(J233:V233)</f>
        <v>312414.5359818064</v>
      </c>
      <c r="J233" s="100">
        <f t="shared" si="7"/>
        <v>23048.088531187124</v>
      </c>
      <c r="K233" s="100">
        <f t="shared" si="13"/>
        <v>18517.303822937629</v>
      </c>
      <c r="L233" s="100">
        <f t="shared" si="13"/>
        <v>14981.891348088531</v>
      </c>
      <c r="M233" s="100">
        <f t="shared" si="13"/>
        <v>24668.008048289736</v>
      </c>
      <c r="N233" s="100">
        <f t="shared" si="13"/>
        <v>32598.189134808854</v>
      </c>
      <c r="O233" s="100">
        <f t="shared" si="13"/>
        <v>27807.042253521126</v>
      </c>
      <c r="P233" s="100">
        <f t="shared" si="13"/>
        <v>27808.113844752465</v>
      </c>
      <c r="Q233" s="100">
        <f t="shared" si="13"/>
        <v>34191.613541325234</v>
      </c>
      <c r="R233" s="100">
        <f t="shared" si="13"/>
        <v>38441.122635753505</v>
      </c>
      <c r="S233" s="100">
        <f t="shared" si="13"/>
        <v>30227.374415293882</v>
      </c>
      <c r="T233" s="100">
        <f t="shared" si="13"/>
        <v>23255.123302816024</v>
      </c>
      <c r="U233" s="100">
        <f t="shared" si="13"/>
        <v>16870.665103032334</v>
      </c>
    </row>
    <row r="234" spans="2:21">
      <c r="B234" s="102"/>
      <c r="C234" s="100"/>
      <c r="D234" s="100"/>
      <c r="E234" s="100"/>
      <c r="F234" s="100"/>
      <c r="G234" s="100"/>
      <c r="H234" s="100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</row>
    <row r="235" spans="2:21">
      <c r="B235" s="102" t="s">
        <v>333</v>
      </c>
      <c r="C235" s="148" t="s">
        <v>422</v>
      </c>
      <c r="D235" s="100" t="s">
        <v>4</v>
      </c>
      <c r="E235" s="100" t="s">
        <v>195</v>
      </c>
      <c r="F235" s="100" t="s">
        <v>195</v>
      </c>
      <c r="G235" s="100" t="s">
        <v>195</v>
      </c>
      <c r="H235" s="102" t="s">
        <v>332</v>
      </c>
      <c r="I235" s="100">
        <f>SUMIFS(RVN!E:E,RVN!A:A,D235,RVN!B:B,"U")*SUMIFS(I$195:I$233,C$195:C$233,C235,D$195:D$233,D235,E$195:E$233,E235)/SUMIFS(I$195:I$233,D$195:D$233,D235)</f>
        <v>13848912.754029613</v>
      </c>
      <c r="J235" s="100">
        <f>SUMIFS(J$195:J$233,$C$195:$C$233,$C235,$D$195:$D$233,$D235,$E$195:$E$233,$E235)/SUMIFS($I$195:$I$233,$C$195:$C$233,$C235,$D$195:$D$233,$D235,$E$195:$E$233,$E235)*$I235</f>
        <v>1097453.2496810246</v>
      </c>
      <c r="K235" s="100">
        <f t="shared" ref="K235:U235" si="14">SUMIFS(K$195:K$233,$C$195:$C$233,$C235,$D$195:$D$233,$D235,$E$195:$E$233,$E235)/SUMIFS($I$195:$I$233,$C$195:$C$233,$C235,$D$195:$D$233,$D235,$E$195:$E$233,$E235)*$I235</f>
        <v>1194002.9420268666</v>
      </c>
      <c r="L235" s="100">
        <f t="shared" si="14"/>
        <v>914982.28217205743</v>
      </c>
      <c r="M235" s="100">
        <f t="shared" si="14"/>
        <v>805219.29171571182</v>
      </c>
      <c r="N235" s="100">
        <f t="shared" si="14"/>
        <v>1179626.8832673107</v>
      </c>
      <c r="O235" s="100">
        <f t="shared" si="14"/>
        <v>1535687.3091877999</v>
      </c>
      <c r="P235" s="100">
        <f t="shared" si="14"/>
        <v>1738709.5619809011</v>
      </c>
      <c r="Q235" s="100">
        <f t="shared" si="14"/>
        <v>1521458.7276402779</v>
      </c>
      <c r="R235" s="100">
        <f t="shared" si="14"/>
        <v>1321930.6598345567</v>
      </c>
      <c r="S235" s="100">
        <f t="shared" si="14"/>
        <v>841994.12530942063</v>
      </c>
      <c r="T235" s="100">
        <f t="shared" si="14"/>
        <v>885457.90191100817</v>
      </c>
      <c r="U235" s="100">
        <f t="shared" si="14"/>
        <v>812389.81930267799</v>
      </c>
    </row>
    <row r="236" spans="2:21">
      <c r="B236" s="102" t="s">
        <v>333</v>
      </c>
      <c r="C236" s="100" t="s">
        <v>229</v>
      </c>
      <c r="D236" s="100" t="s">
        <v>4</v>
      </c>
      <c r="E236" s="100" t="s">
        <v>195</v>
      </c>
      <c r="F236" s="100" t="s">
        <v>195</v>
      </c>
      <c r="G236" s="100" t="s">
        <v>195</v>
      </c>
      <c r="H236" s="102" t="s">
        <v>332</v>
      </c>
      <c r="I236" s="100">
        <f>SUMIFS(RVN!E:E,RVN!A:A,D236,RVN!B:B,"U")*SUMIFS(I$195:I$233,C$195:C$233,C236,D$195:D$233,D236,E$195:E$233,E236)/SUMIFS(I$195:I$233,D$195:D$233,D236)</f>
        <v>184961.56009356948</v>
      </c>
      <c r="J236" s="100">
        <f t="shared" ref="J236:U256" si="15">SUMIFS(J$195:J$233,$C$195:$C$233,$C236,$D$195:$D$233,$D236,$E$195:$E$233,$E236)/SUMIFS($I$195:$I$233,$C$195:$C$233,$C236,$D$195:$D$233,$D236,$E$195:$E$233,$E236)*$I236</f>
        <v>17559.326863185524</v>
      </c>
      <c r="K236" s="100">
        <f t="shared" si="15"/>
        <v>17440.028609005345</v>
      </c>
      <c r="L236" s="100">
        <f t="shared" si="15"/>
        <v>14605.706528976394</v>
      </c>
      <c r="M236" s="100">
        <f t="shared" si="15"/>
        <v>12244.387741529499</v>
      </c>
      <c r="N236" s="100">
        <f t="shared" si="15"/>
        <v>12499.76454095472</v>
      </c>
      <c r="O236" s="100">
        <f t="shared" si="15"/>
        <v>16426.627361274364</v>
      </c>
      <c r="P236" s="100">
        <f t="shared" si="15"/>
        <v>22323.754311654699</v>
      </c>
      <c r="Q236" s="100">
        <f t="shared" si="15"/>
        <v>19119.707859079092</v>
      </c>
      <c r="R236" s="100">
        <f t="shared" si="15"/>
        <v>15309.566810748254</v>
      </c>
      <c r="S236" s="100">
        <f t="shared" si="15"/>
        <v>12581.999036735697</v>
      </c>
      <c r="T236" s="100">
        <f t="shared" si="15"/>
        <v>12360.202154483843</v>
      </c>
      <c r="U236" s="100">
        <f t="shared" si="15"/>
        <v>12490.488275942047</v>
      </c>
    </row>
    <row r="237" spans="2:21">
      <c r="B237" s="102" t="s">
        <v>333</v>
      </c>
      <c r="C237" s="100" t="s">
        <v>229</v>
      </c>
      <c r="D237" s="100" t="s">
        <v>5</v>
      </c>
      <c r="E237" s="100" t="s">
        <v>195</v>
      </c>
      <c r="F237" s="100" t="s">
        <v>195</v>
      </c>
      <c r="G237" s="100" t="s">
        <v>195</v>
      </c>
      <c r="H237" s="102" t="s">
        <v>332</v>
      </c>
      <c r="I237" s="100">
        <f>SUMIFS(RVN!E:E,RVN!A:A,D237,RVN!B:B,"U")*SUMIFS(I$195:I$233,C$195:C$233,C237,D$195:D$233,D237,E$195:E$233,E237)/SUMIFS(I$195:I$233,D$195:D$233,D237)</f>
        <v>3360124.9887542012</v>
      </c>
      <c r="J237" s="100">
        <f t="shared" si="15"/>
        <v>313010.46352293831</v>
      </c>
      <c r="K237" s="100">
        <f t="shared" si="15"/>
        <v>338968.04821415647</v>
      </c>
      <c r="L237" s="100">
        <f t="shared" si="15"/>
        <v>288668.24549774767</v>
      </c>
      <c r="M237" s="100">
        <f t="shared" si="15"/>
        <v>254217.93842320945</v>
      </c>
      <c r="N237" s="100">
        <f t="shared" si="15"/>
        <v>258256.73216586877</v>
      </c>
      <c r="O237" s="100">
        <f t="shared" si="15"/>
        <v>298506.78385850211</v>
      </c>
      <c r="P237" s="100">
        <f t="shared" si="15"/>
        <v>320026.63068605197</v>
      </c>
      <c r="Q237" s="100">
        <f t="shared" si="15"/>
        <v>290804.33428254892</v>
      </c>
      <c r="R237" s="100">
        <f t="shared" si="15"/>
        <v>266231.81249917962</v>
      </c>
      <c r="S237" s="100">
        <f t="shared" si="15"/>
        <v>240397.5815010618</v>
      </c>
      <c r="T237" s="100">
        <f t="shared" si="15"/>
        <v>244805.55385833306</v>
      </c>
      <c r="U237" s="100">
        <f t="shared" si="15"/>
        <v>246230.86424460288</v>
      </c>
    </row>
    <row r="238" spans="2:21">
      <c r="B238" s="102" t="s">
        <v>333</v>
      </c>
      <c r="C238" s="100" t="s">
        <v>229</v>
      </c>
      <c r="D238" s="100" t="s">
        <v>7</v>
      </c>
      <c r="E238" s="100" t="s">
        <v>195</v>
      </c>
      <c r="F238" s="100" t="s">
        <v>195</v>
      </c>
      <c r="G238" s="100" t="s">
        <v>195</v>
      </c>
      <c r="H238" s="102" t="s">
        <v>332</v>
      </c>
      <c r="I238" s="100">
        <f>SUMIFS(RVN!E:E,RVN!A:A,D238,RVN!B:B,"U")*SUMIFS(I$195:I$233,C$195:C$233,C238,D$195:D$233,D238,E$195:E$233,E238)/SUMIFS(I$195:I$233,D$195:D$233,D238)</f>
        <v>110092.31605423642</v>
      </c>
      <c r="J238" s="100">
        <f t="shared" si="15"/>
        <v>9493.9600969727835</v>
      </c>
      <c r="K238" s="100">
        <f t="shared" si="15"/>
        <v>9752.1632884496412</v>
      </c>
      <c r="L238" s="100">
        <f t="shared" si="15"/>
        <v>9055.8189845389588</v>
      </c>
      <c r="M238" s="100">
        <f t="shared" si="15"/>
        <v>8419.5911975236231</v>
      </c>
      <c r="N238" s="100">
        <f t="shared" si="15"/>
        <v>8646.4228441895448</v>
      </c>
      <c r="O238" s="100">
        <f t="shared" si="15"/>
        <v>10389.852070408933</v>
      </c>
      <c r="P238" s="100">
        <f t="shared" si="15"/>
        <v>11514.229068840383</v>
      </c>
      <c r="Q238" s="100">
        <f t="shared" si="15"/>
        <v>10079.768406360157</v>
      </c>
      <c r="R238" s="100">
        <f t="shared" si="15"/>
        <v>8935.162506580069</v>
      </c>
      <c r="S238" s="100">
        <f t="shared" si="15"/>
        <v>8236.5470332819405</v>
      </c>
      <c r="T238" s="100">
        <f t="shared" si="15"/>
        <v>7839.3255164790562</v>
      </c>
      <c r="U238" s="100">
        <f t="shared" si="15"/>
        <v>7729.4750406113189</v>
      </c>
    </row>
    <row r="239" spans="2:21">
      <c r="B239" s="102" t="s">
        <v>333</v>
      </c>
      <c r="C239" s="100" t="s">
        <v>279</v>
      </c>
      <c r="D239" s="100" t="s">
        <v>4</v>
      </c>
      <c r="E239" s="100" t="s">
        <v>176</v>
      </c>
      <c r="F239" s="100" t="s">
        <v>195</v>
      </c>
      <c r="G239" s="100" t="s">
        <v>195</v>
      </c>
      <c r="H239" s="102" t="s">
        <v>332</v>
      </c>
      <c r="I239" s="100">
        <f>SUMIFS(RVN!E:E,RVN!A:A,D239,RVN!B:B,"U")*SUMIFS(I$195:I$233,C$195:C$233,C239,D$195:D$233,D239,E$195:E$233,E239)/SUMIFS(I$195:I$233,D$195:D$233,D239)</f>
        <v>19614.789810188311</v>
      </c>
      <c r="J239" s="100">
        <f t="shared" si="15"/>
        <v>1291.8992223640057</v>
      </c>
      <c r="K239" s="100">
        <f t="shared" si="15"/>
        <v>1243.7846668047291</v>
      </c>
      <c r="L239" s="100">
        <f t="shared" si="15"/>
        <v>1135.9134345711336</v>
      </c>
      <c r="M239" s="100">
        <f t="shared" si="15"/>
        <v>1010.5753225912734</v>
      </c>
      <c r="N239" s="100">
        <f t="shared" si="15"/>
        <v>1303.3726785898973</v>
      </c>
      <c r="O239" s="100">
        <f t="shared" si="15"/>
        <v>1833.3165890521182</v>
      </c>
      <c r="P239" s="100">
        <f t="shared" si="15"/>
        <v>2661.7066452050044</v>
      </c>
      <c r="Q239" s="100">
        <f t="shared" si="15"/>
        <v>2178.3365418700855</v>
      </c>
      <c r="R239" s="100">
        <f t="shared" si="15"/>
        <v>2119.0932013321003</v>
      </c>
      <c r="S239" s="100">
        <f t="shared" si="15"/>
        <v>1751.6416361038423</v>
      </c>
      <c r="T239" s="100">
        <f t="shared" si="15"/>
        <v>1655.7560296874881</v>
      </c>
      <c r="U239" s="100">
        <f t="shared" si="15"/>
        <v>1429.3938420166321</v>
      </c>
    </row>
    <row r="240" spans="2:21">
      <c r="B240" s="102" t="s">
        <v>333</v>
      </c>
      <c r="C240" s="100" t="s">
        <v>279</v>
      </c>
      <c r="D240" s="100" t="s">
        <v>5</v>
      </c>
      <c r="E240" s="100" t="s">
        <v>176</v>
      </c>
      <c r="F240" s="100" t="s">
        <v>195</v>
      </c>
      <c r="G240" s="100" t="s">
        <v>195</v>
      </c>
      <c r="H240" s="102" t="s">
        <v>332</v>
      </c>
      <c r="I240" s="100">
        <f>SUMIFS(RVN!E:E,RVN!A:A,D240,RVN!B:B,"U")*SUMIFS(I$195:I$233,C$195:C$233,C240,D$195:D$233,D240,E$195:E$233,E240)/SUMIFS(I$195:I$233,D$195:D$233,D240)</f>
        <v>5472573.8466537502</v>
      </c>
      <c r="J240" s="100">
        <f t="shared" si="15"/>
        <v>453400.45816554484</v>
      </c>
      <c r="K240" s="100">
        <f t="shared" si="15"/>
        <v>484053.21822240081</v>
      </c>
      <c r="L240" s="100">
        <f t="shared" si="15"/>
        <v>501078.18664600735</v>
      </c>
      <c r="M240" s="100">
        <f t="shared" si="15"/>
        <v>510260.78560722322</v>
      </c>
      <c r="N240" s="100">
        <f t="shared" si="15"/>
        <v>495512.70792052918</v>
      </c>
      <c r="O240" s="100">
        <f t="shared" si="15"/>
        <v>499364.98591914074</v>
      </c>
      <c r="P240" s="100">
        <f t="shared" si="15"/>
        <v>465483.58006424445</v>
      </c>
      <c r="Q240" s="100">
        <f t="shared" si="15"/>
        <v>434757.40795666934</v>
      </c>
      <c r="R240" s="100">
        <f t="shared" si="15"/>
        <v>419779.66622256231</v>
      </c>
      <c r="S240" s="100">
        <f t="shared" si="15"/>
        <v>392006.71212238906</v>
      </c>
      <c r="T240" s="100">
        <f t="shared" si="15"/>
        <v>402608.28171720589</v>
      </c>
      <c r="U240" s="100">
        <f t="shared" si="15"/>
        <v>414267.8560898322</v>
      </c>
    </row>
    <row r="241" spans="2:21">
      <c r="B241" s="102" t="s">
        <v>333</v>
      </c>
      <c r="C241" s="100" t="s">
        <v>279</v>
      </c>
      <c r="D241" s="100" t="s">
        <v>5</v>
      </c>
      <c r="E241" s="100" t="s">
        <v>177</v>
      </c>
      <c r="F241" s="100" t="s">
        <v>195</v>
      </c>
      <c r="G241" s="100" t="s">
        <v>195</v>
      </c>
      <c r="H241" s="102" t="s">
        <v>332</v>
      </c>
      <c r="I241" s="100">
        <f>SUMIFS(RVN!E:E,RVN!A:A,D241,RVN!B:B,"U")*SUMIFS(I$195:I$233,C$195:C$233,C241,D$195:D$233,D241,E$195:E$233,E241)/SUMIFS(I$195:I$233,D$195:D$233,D241)</f>
        <v>68088.107312671767</v>
      </c>
      <c r="J241" s="100">
        <f t="shared" si="15"/>
        <v>5683.6043843545312</v>
      </c>
      <c r="K241" s="100">
        <f t="shared" si="15"/>
        <v>6656.4431562336458</v>
      </c>
      <c r="L241" s="100">
        <f t="shared" si="15"/>
        <v>6482.5860112997671</v>
      </c>
      <c r="M241" s="100">
        <f t="shared" si="15"/>
        <v>5846.6369749177538</v>
      </c>
      <c r="N241" s="100">
        <f t="shared" si="15"/>
        <v>6189.7738208055907</v>
      </c>
      <c r="O241" s="100">
        <f t="shared" si="15"/>
        <v>6070.4408420788113</v>
      </c>
      <c r="P241" s="100">
        <f t="shared" si="15"/>
        <v>5857.2754193471128</v>
      </c>
      <c r="Q241" s="100">
        <f t="shared" si="15"/>
        <v>5438.5998132285458</v>
      </c>
      <c r="R241" s="100">
        <f t="shared" si="15"/>
        <v>4968.0451148254551</v>
      </c>
      <c r="S241" s="100">
        <f t="shared" si="15"/>
        <v>4640.7957161507484</v>
      </c>
      <c r="T241" s="100">
        <f t="shared" si="15"/>
        <v>5618.611109655516</v>
      </c>
      <c r="U241" s="100">
        <f t="shared" si="15"/>
        <v>4635.2949497742911</v>
      </c>
    </row>
    <row r="242" spans="2:21">
      <c r="B242" s="102" t="s">
        <v>333</v>
      </c>
      <c r="C242" s="100" t="s">
        <v>279</v>
      </c>
      <c r="D242" s="100" t="s">
        <v>7</v>
      </c>
      <c r="E242" s="100" t="s">
        <v>176</v>
      </c>
      <c r="F242" s="100" t="s">
        <v>195</v>
      </c>
      <c r="G242" s="100" t="s">
        <v>195</v>
      </c>
      <c r="H242" s="102" t="s">
        <v>332</v>
      </c>
      <c r="I242" s="100">
        <f>SUMIFS(RVN!E:E,RVN!A:A,D242,RVN!B:B,"U")*SUMIFS(I$195:I$233,C$195:C$233,C242,D$195:D$233,D242,E$195:E$233,E242)/SUMIFS(I$195:I$233,D$195:D$233,D242)</f>
        <v>636048.71381252212</v>
      </c>
      <c r="J242" s="100">
        <f t="shared" si="15"/>
        <v>54318.833713552245</v>
      </c>
      <c r="K242" s="100">
        <f t="shared" si="15"/>
        <v>55926.819288554616</v>
      </c>
      <c r="L242" s="100">
        <f t="shared" si="15"/>
        <v>57333.751714338316</v>
      </c>
      <c r="M242" s="100">
        <f t="shared" si="15"/>
        <v>65422.940874443746</v>
      </c>
      <c r="N242" s="100">
        <f t="shared" si="15"/>
        <v>55340.424405830512</v>
      </c>
      <c r="O242" s="100">
        <f t="shared" si="15"/>
        <v>54010.476268046463</v>
      </c>
      <c r="P242" s="100">
        <f t="shared" si="15"/>
        <v>47927.73278481586</v>
      </c>
      <c r="Q242" s="100">
        <f t="shared" si="15"/>
        <v>49054.267763200864</v>
      </c>
      <c r="R242" s="100">
        <f t="shared" si="15"/>
        <v>51087.274995099709</v>
      </c>
      <c r="S242" s="100">
        <f t="shared" si="15"/>
        <v>49721.746162087322</v>
      </c>
      <c r="T242" s="100">
        <f t="shared" si="15"/>
        <v>48489.470769962529</v>
      </c>
      <c r="U242" s="100">
        <f t="shared" si="15"/>
        <v>47414.97507258987</v>
      </c>
    </row>
    <row r="243" spans="2:21">
      <c r="B243" s="102" t="s">
        <v>333</v>
      </c>
      <c r="C243" s="100" t="s">
        <v>279</v>
      </c>
      <c r="D243" s="100" t="s">
        <v>7</v>
      </c>
      <c r="E243" s="100" t="s">
        <v>177</v>
      </c>
      <c r="F243" s="100" t="s">
        <v>195</v>
      </c>
      <c r="G243" s="100" t="s">
        <v>195</v>
      </c>
      <c r="H243" s="102" t="s">
        <v>332</v>
      </c>
      <c r="I243" s="100">
        <f>SUMIFS(RVN!E:E,RVN!A:A,D243,RVN!B:B,"U")*SUMIFS(I$195:I$233,C$195:C$233,C243,D$195:D$233,D243,E$195:E$233,E243)/SUMIFS(I$195:I$233,D$195:D$233,D243)</f>
        <v>1285.9175998965197</v>
      </c>
      <c r="J243" s="100">
        <f t="shared" si="15"/>
        <v>0</v>
      </c>
      <c r="K243" s="100">
        <f t="shared" si="15"/>
        <v>0</v>
      </c>
      <c r="L243" s="100">
        <f t="shared" si="15"/>
        <v>69.982210517205701</v>
      </c>
      <c r="M243" s="100">
        <f t="shared" si="15"/>
        <v>122.46795611724237</v>
      </c>
      <c r="N243" s="100">
        <f t="shared" si="15"/>
        <v>148.71143710917241</v>
      </c>
      <c r="O243" s="100">
        <f t="shared" si="15"/>
        <v>148.71143710917241</v>
      </c>
      <c r="P243" s="100">
        <f t="shared" si="15"/>
        <v>157.45966956775695</v>
      </c>
      <c r="Q243" s="100">
        <f t="shared" si="15"/>
        <v>157.45946094438827</v>
      </c>
      <c r="R243" s="100">
        <f t="shared" si="15"/>
        <v>131.21618857582686</v>
      </c>
      <c r="S243" s="100">
        <f t="shared" si="15"/>
        <v>122.46794701969209</v>
      </c>
      <c r="T243" s="100">
        <f t="shared" si="15"/>
        <v>104.97285026529094</v>
      </c>
      <c r="U243" s="100">
        <f t="shared" si="15"/>
        <v>122.46844267077174</v>
      </c>
    </row>
    <row r="244" spans="2:21">
      <c r="B244" s="102" t="s">
        <v>333</v>
      </c>
      <c r="C244" s="100" t="s">
        <v>152</v>
      </c>
      <c r="D244" s="100" t="s">
        <v>179</v>
      </c>
      <c r="E244" s="100" t="s">
        <v>195</v>
      </c>
      <c r="F244" s="100" t="s">
        <v>195</v>
      </c>
      <c r="G244" s="100" t="s">
        <v>195</v>
      </c>
      <c r="H244" s="102" t="s">
        <v>332</v>
      </c>
      <c r="I244" s="100">
        <f>SUMIFS(RVN!E:E,RVN!A:A,D244,RVN!B:B,"U")*SUMIFS(I$195:I$233,C$195:C$233,C244,D$195:D$233,D244,E$195:E$233,E244)/SUMIFS(I$195:I$233,D$195:D$233,D244)</f>
        <v>-10577000</v>
      </c>
      <c r="J244" s="100">
        <f t="shared" si="15"/>
        <v>-2138587.0723327408</v>
      </c>
      <c r="K244" s="100">
        <f t="shared" si="15"/>
        <v>-2317657.8605625867</v>
      </c>
      <c r="L244" s="100">
        <f t="shared" si="15"/>
        <v>-1814860.6242712559</v>
      </c>
      <c r="M244" s="100">
        <f t="shared" si="15"/>
        <v>-1025167.4797885468</v>
      </c>
      <c r="N244" s="100">
        <f t="shared" si="15"/>
        <v>-298302.32195957541</v>
      </c>
      <c r="O244" s="100">
        <f t="shared" si="15"/>
        <v>-55025.733424417704</v>
      </c>
      <c r="P244" s="100">
        <f t="shared" si="15"/>
        <v>-35731.713420962791</v>
      </c>
      <c r="Q244" s="100">
        <f t="shared" si="15"/>
        <v>-34476.301349543515</v>
      </c>
      <c r="R244" s="100">
        <f t="shared" si="15"/>
        <v>-163271.18093209091</v>
      </c>
      <c r="S244" s="100">
        <f t="shared" si="15"/>
        <v>-604972.89458734391</v>
      </c>
      <c r="T244" s="100">
        <f t="shared" si="15"/>
        <v>-896660.25611474877</v>
      </c>
      <c r="U244" s="100">
        <f t="shared" si="15"/>
        <v>-1192286.5612561868</v>
      </c>
    </row>
    <row r="245" spans="2:21">
      <c r="B245" s="102" t="s">
        <v>333</v>
      </c>
      <c r="C245" s="100" t="s">
        <v>252</v>
      </c>
      <c r="D245" s="100" t="s">
        <v>7</v>
      </c>
      <c r="E245" s="100" t="s">
        <v>176</v>
      </c>
      <c r="F245" s="100" t="s">
        <v>195</v>
      </c>
      <c r="G245" s="100" t="s">
        <v>195</v>
      </c>
      <c r="H245" s="102" t="s">
        <v>332</v>
      </c>
      <c r="I245" s="100">
        <f>SUMIFS(RVN!E:E,RVN!A:A,D245,RVN!B:B,"U")*SUMIFS(I$195:I$233,C$195:C$233,C245,D$195:D$233,D245,E$195:E$233,E245)/SUMIFS(I$195:I$233,D$195:D$233,D245)</f>
        <v>12224.974902314538</v>
      </c>
      <c r="J245" s="100">
        <f t="shared" si="15"/>
        <v>896.64395526815031</v>
      </c>
      <c r="K245" s="100">
        <f t="shared" si="15"/>
        <v>1261.1333679787806</v>
      </c>
      <c r="L245" s="100">
        <f t="shared" si="15"/>
        <v>1239.2640032161428</v>
      </c>
      <c r="M245" s="100">
        <f t="shared" si="15"/>
        <v>867.48480225129993</v>
      </c>
      <c r="N245" s="100">
        <f t="shared" si="15"/>
        <v>998.70099082712682</v>
      </c>
      <c r="O245" s="100">
        <f t="shared" si="15"/>
        <v>962.25204955606387</v>
      </c>
      <c r="P245" s="100">
        <f t="shared" si="15"/>
        <v>2711.8012305670891</v>
      </c>
      <c r="Q245" s="100">
        <f t="shared" si="15"/>
        <v>736.26861367547315</v>
      </c>
      <c r="R245" s="100">
        <f t="shared" si="15"/>
        <v>743.55840192968572</v>
      </c>
      <c r="S245" s="100">
        <f t="shared" si="15"/>
        <v>517.574966049095</v>
      </c>
      <c r="T245" s="100">
        <f t="shared" si="15"/>
        <v>619.63200160807128</v>
      </c>
      <c r="U245" s="100">
        <f t="shared" si="15"/>
        <v>670.66051938755959</v>
      </c>
    </row>
    <row r="246" spans="2:21">
      <c r="B246" s="102" t="s">
        <v>333</v>
      </c>
      <c r="C246" s="100" t="s">
        <v>172</v>
      </c>
      <c r="D246" s="100" t="s">
        <v>5</v>
      </c>
      <c r="E246" s="100" t="s">
        <v>176</v>
      </c>
      <c r="F246" s="100" t="s">
        <v>195</v>
      </c>
      <c r="G246" s="100" t="s">
        <v>195</v>
      </c>
      <c r="H246" s="102" t="s">
        <v>332</v>
      </c>
      <c r="I246" s="100">
        <f>SUMIFS(RVN!E:E,RVN!A:A,D246,RVN!B:B,"U")*SUMIFS(I$195:I$233,C$195:C$233,C246,D$195:D$233,D246,E$195:E$233,E246)/SUMIFS(I$195:I$233,D$195:D$233,D246)</f>
        <v>817331.87600806251</v>
      </c>
      <c r="J246" s="100">
        <f t="shared" si="15"/>
        <v>78748.42433159762</v>
      </c>
      <c r="K246" s="100">
        <f t="shared" si="15"/>
        <v>77149.844975506363</v>
      </c>
      <c r="L246" s="100">
        <f t="shared" si="15"/>
        <v>78225.400164137813</v>
      </c>
      <c r="M246" s="100">
        <f t="shared" si="15"/>
        <v>80827.035307682425</v>
      </c>
      <c r="N246" s="100">
        <f t="shared" si="15"/>
        <v>76939.007735727879</v>
      </c>
      <c r="O246" s="100">
        <f t="shared" si="15"/>
        <v>73934.898499362956</v>
      </c>
      <c r="P246" s="100">
        <f t="shared" si="15"/>
        <v>60764.47316193748</v>
      </c>
      <c r="Q246" s="100">
        <f t="shared" si="15"/>
        <v>59140.01277079487</v>
      </c>
      <c r="R246" s="100">
        <f t="shared" si="15"/>
        <v>58655.644950115297</v>
      </c>
      <c r="S246" s="100">
        <f t="shared" si="15"/>
        <v>55307.424059383899</v>
      </c>
      <c r="T246" s="100">
        <f t="shared" si="15"/>
        <v>56267.811699345824</v>
      </c>
      <c r="U246" s="100">
        <f t="shared" si="15"/>
        <v>61371.898352470125</v>
      </c>
    </row>
    <row r="247" spans="2:21">
      <c r="B247" s="102" t="s">
        <v>333</v>
      </c>
      <c r="C247" s="100" t="s">
        <v>172</v>
      </c>
      <c r="D247" s="100" t="s">
        <v>5</v>
      </c>
      <c r="E247" s="100" t="s">
        <v>177</v>
      </c>
      <c r="F247" s="100" t="s">
        <v>195</v>
      </c>
      <c r="G247" s="100" t="s">
        <v>195</v>
      </c>
      <c r="H247" s="102" t="s">
        <v>332</v>
      </c>
      <c r="I247" s="100">
        <f>SUMIFS(RVN!E:E,RVN!A:A,D247,RVN!B:B,"U")*SUMIFS(I$195:I$233,C$195:C$233,C247,D$195:D$233,D247,E$195:E$233,E247)/SUMIFS(I$195:I$233,D$195:D$233,D247)</f>
        <v>340647.4859614296</v>
      </c>
      <c r="J247" s="100">
        <f t="shared" si="15"/>
        <v>31950.712174856686</v>
      </c>
      <c r="K247" s="100">
        <f t="shared" si="15"/>
        <v>34278.110913397366</v>
      </c>
      <c r="L247" s="100">
        <f t="shared" si="15"/>
        <v>29724.744720590596</v>
      </c>
      <c r="M247" s="100">
        <f t="shared" si="15"/>
        <v>29582.996476033637</v>
      </c>
      <c r="N247" s="100">
        <f t="shared" si="15"/>
        <v>28195.443483094317</v>
      </c>
      <c r="O247" s="100">
        <f t="shared" si="15"/>
        <v>31161.097055337606</v>
      </c>
      <c r="P247" s="100">
        <f t="shared" si="15"/>
        <v>28017.004898880634</v>
      </c>
      <c r="Q247" s="100">
        <f t="shared" si="15"/>
        <v>27272.76645838613</v>
      </c>
      <c r="R247" s="100">
        <f t="shared" si="15"/>
        <v>25797.213226335283</v>
      </c>
      <c r="S247" s="100">
        <f t="shared" si="15"/>
        <v>24553.446974202063</v>
      </c>
      <c r="T247" s="100">
        <f t="shared" si="15"/>
        <v>24804.634104596815</v>
      </c>
      <c r="U247" s="100">
        <f t="shared" si="15"/>
        <v>25309.315475718464</v>
      </c>
    </row>
    <row r="248" spans="2:21">
      <c r="B248" s="102" t="s">
        <v>333</v>
      </c>
      <c r="C248" s="100" t="s">
        <v>172</v>
      </c>
      <c r="D248" s="100" t="s">
        <v>7</v>
      </c>
      <c r="E248" s="100" t="s">
        <v>176</v>
      </c>
      <c r="F248" s="100" t="s">
        <v>195</v>
      </c>
      <c r="G248" s="100" t="s">
        <v>195</v>
      </c>
      <c r="H248" s="102" t="s">
        <v>332</v>
      </c>
      <c r="I248" s="100">
        <f>SUMIFS(RVN!E:E,RVN!A:A,D248,RVN!B:B,"U")*SUMIFS(I$195:I$233,C$195:C$233,C248,D$195:D$233,D248,E$195:E$233,E248)/SUMIFS(I$195:I$233,D$195:D$233,D248)</f>
        <v>1449131.9273043326</v>
      </c>
      <c r="J248" s="100">
        <f t="shared" si="15"/>
        <v>130656.33302409672</v>
      </c>
      <c r="K248" s="100">
        <f t="shared" si="15"/>
        <v>119555.4483748878</v>
      </c>
      <c r="L248" s="100">
        <f t="shared" si="15"/>
        <v>125800.97338119072</v>
      </c>
      <c r="M248" s="100">
        <f t="shared" si="15"/>
        <v>123721.19630233601</v>
      </c>
      <c r="N248" s="100">
        <f t="shared" si="15"/>
        <v>130713.92452668175</v>
      </c>
      <c r="O248" s="100">
        <f t="shared" si="15"/>
        <v>117761.79398324166</v>
      </c>
      <c r="P248" s="100">
        <f t="shared" si="15"/>
        <v>111872.73389885898</v>
      </c>
      <c r="Q248" s="100">
        <f t="shared" si="15"/>
        <v>116065.82597939351</v>
      </c>
      <c r="R248" s="100">
        <f t="shared" si="15"/>
        <v>116686.91673097873</v>
      </c>
      <c r="S248" s="100">
        <f t="shared" si="15"/>
        <v>119868.54674832703</v>
      </c>
      <c r="T248" s="100">
        <f t="shared" si="15"/>
        <v>116619.47584974307</v>
      </c>
      <c r="U248" s="100">
        <f t="shared" si="15"/>
        <v>119808.75850459657</v>
      </c>
    </row>
    <row r="249" spans="2:21">
      <c r="B249" s="102" t="s">
        <v>333</v>
      </c>
      <c r="C249" s="100" t="s">
        <v>172</v>
      </c>
      <c r="D249" s="100" t="s">
        <v>7</v>
      </c>
      <c r="E249" s="100" t="s">
        <v>177</v>
      </c>
      <c r="F249" s="100" t="s">
        <v>195</v>
      </c>
      <c r="G249" s="100" t="s">
        <v>195</v>
      </c>
      <c r="H249" s="102" t="s">
        <v>332</v>
      </c>
      <c r="I249" s="100">
        <f>SUMIFS(RVN!E:E,RVN!A:A,D249,RVN!B:B,"U")*SUMIFS(I$195:I$233,C$195:C$233,C249,D$195:D$233,D249,E$195:E$233,E249)/SUMIFS(I$195:I$233,D$195:D$233,D249)</f>
        <v>3162.3086908914211</v>
      </c>
      <c r="J249" s="100">
        <f t="shared" si="15"/>
        <v>209.94525632174316</v>
      </c>
      <c r="K249" s="100">
        <f t="shared" si="15"/>
        <v>196.82428286374031</v>
      </c>
      <c r="L249" s="100">
        <f t="shared" si="15"/>
        <v>209.94525632174316</v>
      </c>
      <c r="M249" s="100">
        <f t="shared" si="15"/>
        <v>236.18972960236724</v>
      </c>
      <c r="N249" s="100">
        <f t="shared" si="15"/>
        <v>249.30957796231334</v>
      </c>
      <c r="O249" s="100">
        <f t="shared" si="15"/>
        <v>314.91949798156429</v>
      </c>
      <c r="P249" s="100">
        <f t="shared" si="15"/>
        <v>354.28333122124161</v>
      </c>
      <c r="Q249" s="100">
        <f t="shared" si="15"/>
        <v>314.91931845881498</v>
      </c>
      <c r="R249" s="100">
        <f t="shared" si="15"/>
        <v>314.91819167643104</v>
      </c>
      <c r="S249" s="100">
        <f t="shared" si="15"/>
        <v>262.432046698877</v>
      </c>
      <c r="T249" s="100">
        <f t="shared" si="15"/>
        <v>262.43355708854432</v>
      </c>
      <c r="U249" s="100">
        <f t="shared" si="15"/>
        <v>236.18864469404019</v>
      </c>
    </row>
    <row r="250" spans="2:21">
      <c r="B250" s="102" t="s">
        <v>333</v>
      </c>
      <c r="C250" s="100" t="s">
        <v>287</v>
      </c>
      <c r="D250" s="100" t="s">
        <v>7</v>
      </c>
      <c r="E250" s="100" t="s">
        <v>177</v>
      </c>
      <c r="F250" s="100" t="s">
        <v>195</v>
      </c>
      <c r="G250" s="100" t="s">
        <v>195</v>
      </c>
      <c r="H250" s="102" t="s">
        <v>332</v>
      </c>
      <c r="I250" s="100">
        <f>SUMIFS(RVN!E:E,RVN!A:A,D250,RVN!B:B,"U")*SUMIFS(I$195:I$233,C$195:C$233,C250,D$195:D$233,D250,E$195:E$233,E250)/SUMIFS(I$195:I$233,D$195:D$233,D250)</f>
        <v>3938165.2249523695</v>
      </c>
      <c r="J250" s="100">
        <f t="shared" si="15"/>
        <v>335467.30717126938</v>
      </c>
      <c r="K250" s="100">
        <f t="shared" si="15"/>
        <v>333341.60518718575</v>
      </c>
      <c r="L250" s="100">
        <f t="shared" si="15"/>
        <v>339718.71195197094</v>
      </c>
      <c r="M250" s="100">
        <f t="shared" si="15"/>
        <v>322634.36392855347</v>
      </c>
      <c r="N250" s="100">
        <f t="shared" si="15"/>
        <v>329378.87710473029</v>
      </c>
      <c r="O250" s="100">
        <f t="shared" si="15"/>
        <v>321584.63523248129</v>
      </c>
      <c r="P250" s="100">
        <f t="shared" si="15"/>
        <v>341765.68476459867</v>
      </c>
      <c r="Q250" s="100">
        <f t="shared" si="15"/>
        <v>337278.09165699506</v>
      </c>
      <c r="R250" s="100">
        <f t="shared" si="15"/>
        <v>313291.77095889195</v>
      </c>
      <c r="S250" s="100">
        <f t="shared" si="15"/>
        <v>312556.9621312418</v>
      </c>
      <c r="T250" s="100">
        <f t="shared" si="15"/>
        <v>310457.50238683063</v>
      </c>
      <c r="U250" s="100">
        <f t="shared" si="15"/>
        <v>340689.71247762087</v>
      </c>
    </row>
    <row r="251" spans="2:21">
      <c r="B251" s="102" t="s">
        <v>333</v>
      </c>
      <c r="C251" s="100" t="s">
        <v>169</v>
      </c>
      <c r="D251" s="100" t="s">
        <v>4</v>
      </c>
      <c r="E251" s="100" t="s">
        <v>195</v>
      </c>
      <c r="F251" s="100" t="s">
        <v>195</v>
      </c>
      <c r="G251" s="100" t="s">
        <v>195</v>
      </c>
      <c r="H251" s="102" t="s">
        <v>332</v>
      </c>
      <c r="I251" s="100">
        <f>SUMIFS(RVN!E:E,RVN!A:A,D251,RVN!B:B,"U")*SUMIFS(I$195:I$233,C$195:C$233,C251,D$195:D$233,D251,E$195:E$233,E251)/SUMIFS(I$195:I$233,D$195:D$233,D251)</f>
        <v>7510.896066627859</v>
      </c>
      <c r="J251" s="100">
        <f t="shared" si="15"/>
        <v>632.63038556809147</v>
      </c>
      <c r="K251" s="100">
        <f t="shared" si="15"/>
        <v>630.95979063772018</v>
      </c>
      <c r="L251" s="100">
        <f t="shared" si="15"/>
        <v>631.11075488749225</v>
      </c>
      <c r="M251" s="100">
        <f t="shared" si="15"/>
        <v>629.72839037729091</v>
      </c>
      <c r="N251" s="100">
        <f t="shared" si="15"/>
        <v>628.69703915105879</v>
      </c>
      <c r="O251" s="100">
        <f t="shared" si="15"/>
        <v>627.88171805162733</v>
      </c>
      <c r="P251" s="100">
        <f t="shared" si="15"/>
        <v>625.39779965840034</v>
      </c>
      <c r="Q251" s="100">
        <f t="shared" si="15"/>
        <v>619.62206156550894</v>
      </c>
      <c r="R251" s="100">
        <f t="shared" si="15"/>
        <v>626.43229002782209</v>
      </c>
      <c r="S251" s="100">
        <f t="shared" si="15"/>
        <v>624.5836200655832</v>
      </c>
      <c r="T251" s="100">
        <f t="shared" si="15"/>
        <v>610.48487186946579</v>
      </c>
      <c r="U251" s="100">
        <f t="shared" si="15"/>
        <v>623.36734476779657</v>
      </c>
    </row>
    <row r="252" spans="2:21">
      <c r="B252" s="102" t="s">
        <v>333</v>
      </c>
      <c r="C252" s="100" t="s">
        <v>169</v>
      </c>
      <c r="D252" s="100" t="s">
        <v>5</v>
      </c>
      <c r="E252" s="100" t="s">
        <v>195</v>
      </c>
      <c r="F252" s="100" t="s">
        <v>195</v>
      </c>
      <c r="G252" s="100" t="s">
        <v>195</v>
      </c>
      <c r="H252" s="102" t="s">
        <v>332</v>
      </c>
      <c r="I252" s="100">
        <f>SUMIFS(RVN!E:E,RVN!A:A,D252,RVN!B:B,"U")*SUMIFS(I$195:I$233,C$195:C$233,C252,D$195:D$233,D252,E$195:E$233,E252)/SUMIFS(I$195:I$233,D$195:D$233,D252)</f>
        <v>12164.823195369338</v>
      </c>
      <c r="J252" s="100">
        <f t="shared" si="15"/>
        <v>1019.0215492682912</v>
      </c>
      <c r="K252" s="100">
        <f t="shared" si="15"/>
        <v>1019.7524196111865</v>
      </c>
      <c r="L252" s="100">
        <f t="shared" si="15"/>
        <v>1018.5273122710873</v>
      </c>
      <c r="M252" s="100">
        <f t="shared" si="15"/>
        <v>1017.5549523011524</v>
      </c>
      <c r="N252" s="100">
        <f t="shared" si="15"/>
        <v>1019.7676506754144</v>
      </c>
      <c r="O252" s="100">
        <f t="shared" si="15"/>
        <v>1019.5528705957904</v>
      </c>
      <c r="P252" s="100">
        <f t="shared" si="15"/>
        <v>1011.343547716819</v>
      </c>
      <c r="Q252" s="100">
        <f t="shared" si="15"/>
        <v>995.86966942114998</v>
      </c>
      <c r="R252" s="100">
        <f t="shared" si="15"/>
        <v>1015.032776360977</v>
      </c>
      <c r="S252" s="100">
        <f t="shared" si="15"/>
        <v>1016.1066767590995</v>
      </c>
      <c r="T252" s="100">
        <f t="shared" si="15"/>
        <v>998.99424498855558</v>
      </c>
      <c r="U252" s="100">
        <f t="shared" si="15"/>
        <v>1013.299525399813</v>
      </c>
    </row>
    <row r="253" spans="2:21">
      <c r="B253" s="102" t="s">
        <v>333</v>
      </c>
      <c r="C253" s="100" t="s">
        <v>169</v>
      </c>
      <c r="D253" s="100" t="s">
        <v>7</v>
      </c>
      <c r="E253" s="100" t="s">
        <v>195</v>
      </c>
      <c r="F253" s="100" t="s">
        <v>195</v>
      </c>
      <c r="G253" s="100" t="s">
        <v>195</v>
      </c>
      <c r="H253" s="102" t="s">
        <v>332</v>
      </c>
      <c r="I253" s="100">
        <f>SUMIFS(RVN!E:E,RVN!A:A,D253,RVN!B:B,"U")*SUMIFS(I$195:I$233,C$195:C$233,C253,D$195:D$233,D253,E$195:E$233,E253)/SUMIFS(I$195:I$233,D$195:D$233,D253)</f>
        <v>888.61668343555323</v>
      </c>
      <c r="J253" s="100">
        <f t="shared" si="15"/>
        <v>74.231913792646935</v>
      </c>
      <c r="K253" s="100">
        <f t="shared" si="15"/>
        <v>74.231913792646935</v>
      </c>
      <c r="L253" s="100">
        <f t="shared" si="15"/>
        <v>74.231913792646935</v>
      </c>
      <c r="M253" s="100">
        <f t="shared" si="15"/>
        <v>74.231913792646935</v>
      </c>
      <c r="N253" s="100">
        <f t="shared" si="15"/>
        <v>74.231913792646935</v>
      </c>
      <c r="O253" s="100">
        <f t="shared" si="15"/>
        <v>74.287316183378962</v>
      </c>
      <c r="P253" s="100">
        <f t="shared" si="15"/>
        <v>73.901686384731121</v>
      </c>
      <c r="Q253" s="100">
        <f t="shared" si="15"/>
        <v>73.024967850691141</v>
      </c>
      <c r="R253" s="100">
        <f t="shared" si="15"/>
        <v>74.231913792646935</v>
      </c>
      <c r="S253" s="100">
        <f t="shared" si="15"/>
        <v>74.636011054872128</v>
      </c>
      <c r="T253" s="100">
        <f t="shared" si="15"/>
        <v>72.967864509366478</v>
      </c>
      <c r="U253" s="100">
        <f t="shared" si="15"/>
        <v>74.407354696631657</v>
      </c>
    </row>
    <row r="254" spans="2:21">
      <c r="B254" s="102" t="s">
        <v>333</v>
      </c>
      <c r="C254" s="100" t="s">
        <v>170</v>
      </c>
      <c r="D254" s="100" t="s">
        <v>167</v>
      </c>
      <c r="E254" s="100" t="s">
        <v>195</v>
      </c>
      <c r="F254" s="100" t="s">
        <v>195</v>
      </c>
      <c r="G254" s="100" t="s">
        <v>195</v>
      </c>
      <c r="H254" s="102" t="s">
        <v>332</v>
      </c>
      <c r="I254" s="100">
        <f>SUMIFS(RVN!E:E,RVN!A:A,D254,RVN!B:B,"U")*SUMIFS(I$195:I$233,C$195:C$233,C254,D$195:D$233,D254,E$195:E$233,E254)/SUMIFS(I$195:I$233,D$195:D$233,D254)</f>
        <v>-139583.88973560554</v>
      </c>
      <c r="J254" s="100">
        <f t="shared" si="15"/>
        <v>-11609.889766063012</v>
      </c>
      <c r="K254" s="100">
        <f t="shared" si="15"/>
        <v>-11615.744337101116</v>
      </c>
      <c r="L254" s="100">
        <f t="shared" si="15"/>
        <v>-11597.344935014617</v>
      </c>
      <c r="M254" s="100">
        <f t="shared" si="15"/>
        <v>-11599.455524492665</v>
      </c>
      <c r="N254" s="100">
        <f t="shared" si="15"/>
        <v>-11616.254772126742</v>
      </c>
      <c r="O254" s="100">
        <f t="shared" si="15"/>
        <v>-11694.018954751684</v>
      </c>
      <c r="P254" s="100">
        <f t="shared" si="15"/>
        <v>-11596.333561428955</v>
      </c>
      <c r="Q254" s="100">
        <f t="shared" si="15"/>
        <v>-11415.969564536899</v>
      </c>
      <c r="R254" s="100">
        <f t="shared" si="15"/>
        <v>-11694.747808485949</v>
      </c>
      <c r="S254" s="100">
        <f t="shared" si="15"/>
        <v>-11722.862094874119</v>
      </c>
      <c r="T254" s="100">
        <f t="shared" si="15"/>
        <v>-11712.750733133938</v>
      </c>
      <c r="U254" s="100">
        <f t="shared" si="15"/>
        <v>-11708.517683595846</v>
      </c>
    </row>
    <row r="255" spans="2:21">
      <c r="B255" s="102" t="s">
        <v>333</v>
      </c>
      <c r="C255" s="102" t="s">
        <v>227</v>
      </c>
      <c r="D255" s="100" t="s">
        <v>167</v>
      </c>
      <c r="E255" s="100" t="s">
        <v>195</v>
      </c>
      <c r="F255" s="100" t="s">
        <v>195</v>
      </c>
      <c r="G255" s="100" t="s">
        <v>195</v>
      </c>
      <c r="H255" s="102" t="s">
        <v>332</v>
      </c>
      <c r="I255" s="100">
        <f>SUMIFS(RVN!E:E,RVN!A:A,D255,RVN!B:B,"U")*SUMIFS(I$195:I$233,C$195:C$233,C255,D$195:D$233,D255,E$195:E$233,E255)/SUMIFS(I$195:I$233,D$195:D$233,D255)</f>
        <v>-150416.11026439449</v>
      </c>
      <c r="J255" s="100">
        <f t="shared" si="15"/>
        <v>-11279.20980173001</v>
      </c>
      <c r="K255" s="100">
        <f t="shared" si="15"/>
        <v>-11598.184968114689</v>
      </c>
      <c r="L255" s="100">
        <f t="shared" si="15"/>
        <v>-12071.654496288131</v>
      </c>
      <c r="M255" s="100">
        <f t="shared" si="15"/>
        <v>-12561.702428757508</v>
      </c>
      <c r="N255" s="100">
        <f t="shared" si="15"/>
        <v>-13252.949149012018</v>
      </c>
      <c r="O255" s="100">
        <f t="shared" si="15"/>
        <v>-14122.81529471079</v>
      </c>
      <c r="P255" s="100">
        <f t="shared" si="15"/>
        <v>-14066.36193223878</v>
      </c>
      <c r="Q255" s="100">
        <f t="shared" si="15"/>
        <v>-13319.190686233806</v>
      </c>
      <c r="R255" s="100">
        <f t="shared" si="15"/>
        <v>-12740.410972136075</v>
      </c>
      <c r="S255" s="100">
        <f t="shared" si="15"/>
        <v>-12228.741099192013</v>
      </c>
      <c r="T255" s="100">
        <f t="shared" si="15"/>
        <v>-11730.551623826936</v>
      </c>
      <c r="U255" s="100">
        <f t="shared" si="15"/>
        <v>-11444.33781215373</v>
      </c>
    </row>
    <row r="256" spans="2:21">
      <c r="B256" s="150" t="s">
        <v>333</v>
      </c>
      <c r="C256" s="152" t="s">
        <v>171</v>
      </c>
      <c r="D256" s="152" t="s">
        <v>5</v>
      </c>
      <c r="E256" s="152" t="s">
        <v>195</v>
      </c>
      <c r="F256" s="152" t="s">
        <v>195</v>
      </c>
      <c r="G256" s="152" t="s">
        <v>195</v>
      </c>
      <c r="H256" s="150" t="s">
        <v>332</v>
      </c>
      <c r="I256" s="152">
        <f>SUMIFS(RVN!E:E,RVN!A:A,D256,RVN!B:B,"U")*SUMIFS(I$195:I$233,C$195:C$233,C256,D$195:D$233,D256,E$195:E$233,E256)/SUMIFS(I$195:I$233,D$195:D$233,D256)</f>
        <v>2068.8721145136751</v>
      </c>
      <c r="J256" s="152">
        <f t="shared" si="15"/>
        <v>152.62909424224858</v>
      </c>
      <c r="K256" s="152">
        <f t="shared" si="15"/>
        <v>122.62532341799911</v>
      </c>
      <c r="L256" s="152">
        <f t="shared" si="15"/>
        <v>99.213108427640819</v>
      </c>
      <c r="M256" s="152">
        <f t="shared" si="15"/>
        <v>163.35652824642443</v>
      </c>
      <c r="N256" s="152">
        <f t="shared" si="15"/>
        <v>215.87178801621505</v>
      </c>
      <c r="O256" s="152">
        <f t="shared" si="15"/>
        <v>184.14384633102861</v>
      </c>
      <c r="P256" s="152">
        <f t="shared" si="15"/>
        <v>184.15094262445075</v>
      </c>
      <c r="Q256" s="152">
        <f t="shared" si="15"/>
        <v>226.42376605035884</v>
      </c>
      <c r="R256" s="152">
        <f t="shared" si="15"/>
        <v>254.56487298767144</v>
      </c>
      <c r="S256" s="152">
        <f t="shared" si="15"/>
        <v>200.17177442219739</v>
      </c>
      <c r="T256" s="152">
        <f t="shared" si="15"/>
        <v>154.00012028753696</v>
      </c>
      <c r="U256" s="152">
        <f t="shared" si="15"/>
        <v>111.72094945990342</v>
      </c>
    </row>
    <row r="257" spans="2:21">
      <c r="B257" s="92"/>
      <c r="H257" s="92"/>
    </row>
    <row r="258" spans="2:21">
      <c r="B258" s="224" t="s">
        <v>400</v>
      </c>
      <c r="C258" s="225"/>
      <c r="D258" s="225"/>
      <c r="E258" s="225"/>
      <c r="F258" s="225"/>
      <c r="G258" s="225"/>
      <c r="H258" s="225"/>
      <c r="I258" s="225"/>
      <c r="J258" s="225"/>
      <c r="K258" s="225"/>
      <c r="L258" s="225"/>
      <c r="M258" s="225"/>
      <c r="N258" s="225"/>
      <c r="O258" s="225"/>
      <c r="P258" s="225"/>
      <c r="Q258" s="225"/>
      <c r="R258" s="225"/>
      <c r="S258" s="225"/>
      <c r="T258" s="225"/>
      <c r="U258" s="226"/>
    </row>
    <row r="259" spans="2:21">
      <c r="B259" s="229"/>
      <c r="C259" s="229" t="s">
        <v>209</v>
      </c>
      <c r="D259" s="229" t="s">
        <v>153</v>
      </c>
      <c r="E259" s="229" t="s">
        <v>178</v>
      </c>
      <c r="F259" s="229" t="s">
        <v>193</v>
      </c>
      <c r="G259" s="229" t="s">
        <v>194</v>
      </c>
      <c r="H259" s="229" t="s">
        <v>205</v>
      </c>
      <c r="I259" s="230" t="s">
        <v>217</v>
      </c>
      <c r="J259" s="231">
        <v>44378</v>
      </c>
      <c r="K259" s="231">
        <v>44409</v>
      </c>
      <c r="L259" s="231">
        <v>44440</v>
      </c>
      <c r="M259" s="231">
        <v>44470</v>
      </c>
      <c r="N259" s="231">
        <v>44501</v>
      </c>
      <c r="O259" s="231">
        <v>44531</v>
      </c>
      <c r="P259" s="231">
        <v>44562</v>
      </c>
      <c r="Q259" s="231">
        <v>44593</v>
      </c>
      <c r="R259" s="231">
        <v>44621</v>
      </c>
      <c r="S259" s="231">
        <v>44652</v>
      </c>
      <c r="T259" s="231">
        <v>44682</v>
      </c>
      <c r="U259" s="231">
        <v>44713</v>
      </c>
    </row>
    <row r="260" spans="2:21">
      <c r="B260" s="100"/>
      <c r="C260" s="100"/>
      <c r="D260" s="100"/>
      <c r="E260" s="100"/>
      <c r="F260" s="100"/>
      <c r="G260" s="100"/>
      <c r="H260" s="100"/>
      <c r="I260" s="10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</row>
    <row r="261" spans="2:21">
      <c r="B261" s="100" t="s">
        <v>330</v>
      </c>
      <c r="C261" s="148" t="s">
        <v>422</v>
      </c>
      <c r="D261" s="102" t="s">
        <v>195</v>
      </c>
      <c r="E261" s="141" t="s">
        <v>195</v>
      </c>
      <c r="F261" s="102" t="s">
        <v>195</v>
      </c>
      <c r="G261" s="102" t="s">
        <v>195</v>
      </c>
      <c r="H261" s="102" t="s">
        <v>6</v>
      </c>
      <c r="I261" s="100">
        <f>SUM(J261:U261)</f>
        <v>1631466959.8382835</v>
      </c>
      <c r="J261" s="141">
        <f>IF($C261="Schedule 15,51,53,54",SUM('Normalized Units'!J$228:J$233,'Normalized Units'!J$251:J$256),SUMIFS(J$195:J$256,$C$195:$C$256,$C261,$E$195:$E$256,$E261))</f>
        <v>129285146.6842245</v>
      </c>
      <c r="K261" s="141">
        <f>IF($C261="Schedule 15,51,53,54",SUM('Normalized Units'!K$228:K$233,'Normalized Units'!K$251:K$256),SUMIFS(K$195:K$256,$C$195:$C$256,$C261,$E$195:$E$256,$E261))</f>
        <v>140659153.86027229</v>
      </c>
      <c r="L261" s="141">
        <f>IF($C261="Schedule 15,51,53,54",SUM('Normalized Units'!L$228:L$233,'Normalized Units'!L$251:L$256),SUMIFS(L$195:L$256,$C$195:$C$256,$C261,$E$195:$E$256,$E261))</f>
        <v>107789209.78954051</v>
      </c>
      <c r="M261" s="141">
        <f>IF($C261="Schedule 15,51,53,54",SUM('Normalized Units'!M$228:M$233,'Normalized Units'!M$251:M$256),SUMIFS(M$195:M$256,$C$195:$C$256,$C261,$E$195:$E$256,$E261))</f>
        <v>94858614.043642163</v>
      </c>
      <c r="N261" s="141">
        <f>IF($C261="Schedule 15,51,53,54",SUM('Normalized Units'!N$228:N$233,'Normalized Units'!N$251:N$256),SUMIFS(N$195:N$256,$C$195:$C$256,$C261,$E$195:$E$256,$E261))</f>
        <v>138965586.62539425</v>
      </c>
      <c r="O261" s="141">
        <f>IF($C261="Schedule 15,51,53,54",SUM('Normalized Units'!O$228:O$233,'Normalized Units'!O$251:O$256),SUMIFS(O$195:O$256,$C$195:$C$256,$C261,$E$195:$E$256,$E261))</f>
        <v>180911176.93364429</v>
      </c>
      <c r="P261" s="141">
        <f>IF($C261="Schedule 15,51,53,54",SUM('Normalized Units'!P$228:P$233,'Normalized Units'!P$251:P$256),SUMIFS(P$195:P$256,$C$195:$C$256,$C261,$E$195:$E$256,$E261))</f>
        <v>204828151.74796712</v>
      </c>
      <c r="Q261" s="141">
        <f>IF($C261="Schedule 15,51,53,54",SUM('Normalized Units'!Q$228:Q$233,'Normalized Units'!Q$251:Q$256),SUMIFS(Q$195:Q$256,$C$195:$C$256,$C261,$E$195:$E$256,$E261))</f>
        <v>179234983.20692793</v>
      </c>
      <c r="R261" s="141">
        <f>IF($C261="Schedule 15,51,53,54",SUM('Normalized Units'!R$228:R$233,'Normalized Units'!R$251:R$256),SUMIFS(R$195:R$256,$C$195:$C$256,$C261,$E$195:$E$256,$E261))</f>
        <v>155729639.79354775</v>
      </c>
      <c r="S261" s="141">
        <f>IF($C261="Schedule 15,51,53,54",SUM('Normalized Units'!S$228:S$233,'Normalized Units'!S$251:S$256),SUMIFS(S$195:S$256,$C$195:$C$256,$C261,$E$195:$E$256,$E261))</f>
        <v>99190862.143351629</v>
      </c>
      <c r="T261" s="141">
        <f>IF($C261="Schedule 15,51,53,54",SUM('Normalized Units'!T$228:T$233,'Normalized Units'!T$251:T$256),SUMIFS(T$195:T$256,$C$195:$C$256,$C261,$E$195:$E$256,$E261))</f>
        <v>104311099.14207558</v>
      </c>
      <c r="U261" s="141">
        <f>IF($C261="Schedule 15,51,53,54",SUM('Normalized Units'!U$228:U$233,'Normalized Units'!U$251:U$256),SUMIFS(U$195:U$256,$C$195:$C$256,$C261,$E$195:$E$256,$E261))</f>
        <v>95703335.867695853</v>
      </c>
    </row>
    <row r="262" spans="2:21">
      <c r="B262" s="100" t="s">
        <v>330</v>
      </c>
      <c r="C262" s="227" t="s">
        <v>229</v>
      </c>
      <c r="D262" s="102" t="s">
        <v>195</v>
      </c>
      <c r="E262" s="227" t="s">
        <v>195</v>
      </c>
      <c r="F262" s="102" t="s">
        <v>195</v>
      </c>
      <c r="G262" s="102" t="s">
        <v>195</v>
      </c>
      <c r="H262" s="102" t="s">
        <v>6</v>
      </c>
      <c r="I262" s="100">
        <f t="shared" ref="I262:I270" si="16">SUM(J262:U262)</f>
        <v>547764809.29518425</v>
      </c>
      <c r="J262" s="141">
        <f>IF($C262="Schedule 15,51,53,54",SUM('Normalized Units'!J$228:J$233,'Normalized Units'!J$251:J$256),SUMIFS(J$195:J$256,$C$195:$C$256,$C262,$E$195:$E$256,$E262))</f>
        <v>50960266.132125355</v>
      </c>
      <c r="K262" s="141">
        <f>IF($C262="Schedule 15,51,53,54",SUM('Normalized Units'!K$228:K$233,'Normalized Units'!K$251:K$256),SUMIFS(K$195:K$256,$C$195:$C$256,$C262,$E$195:$E$256,$E262))</f>
        <v>54927629.43917831</v>
      </c>
      <c r="L262" s="141">
        <f>IF($C262="Schedule 15,51,53,54",SUM('Normalized Units'!L$228:L$233,'Normalized Units'!L$251:L$256),SUMIFS(L$195:L$256,$C$195:$C$256,$C262,$E$195:$E$256,$E262))</f>
        <v>46851582.412494272</v>
      </c>
      <c r="M262" s="141">
        <f>IF($C262="Schedule 15,51,53,54",SUM('Normalized Units'!M$228:M$233,'Normalized Units'!M$251:M$256),SUMIFS(M$195:M$256,$C$195:$C$256,$C262,$E$195:$E$256,$E262))</f>
        <v>41248801.263937339</v>
      </c>
      <c r="N262" s="141">
        <f>IF($C262="Schedule 15,51,53,54",SUM('Normalized Units'!N$228:N$233,'Normalized Units'!N$251:N$256),SUMIFS(N$195:N$256,$C$195:$C$256,$C262,$E$195:$E$256,$E262))</f>
        <v>41924154.670058541</v>
      </c>
      <c r="O262" s="141">
        <f>IF($C262="Schedule 15,51,53,54",SUM('Normalized Units'!O$228:O$233,'Normalized Units'!O$251:O$256),SUMIFS(O$195:O$256,$C$195:$C$256,$C262,$E$195:$E$256,$E262))</f>
        <v>48745958.157215051</v>
      </c>
      <c r="P262" s="141">
        <f>IF($C262="Schedule 15,51,53,54",SUM('Normalized Units'!P$228:P$233,'Normalized Units'!P$251:P$256),SUMIFS(P$195:P$256,$C$195:$C$256,$C262,$E$195:$E$256,$E262))</f>
        <v>52867202.94012408</v>
      </c>
      <c r="Q262" s="141">
        <f>IF($C262="Schedule 15,51,53,54",SUM('Normalized Units'!Q$228:Q$233,'Normalized Units'!Q$251:Q$256),SUMIFS(Q$195:Q$256,$C$195:$C$256,$C262,$E$195:$E$256,$E262))</f>
        <v>47849541.275854804</v>
      </c>
      <c r="R262" s="141">
        <f>IF($C262="Schedule 15,51,53,54",SUM('Normalized Units'!R$228:R$233,'Normalized Units'!R$251:R$256),SUMIFS(R$195:R$256,$C$195:$C$256,$C262,$E$195:$E$256,$E262))</f>
        <v>43507329.54007826</v>
      </c>
      <c r="S262" s="141">
        <f>IF($C262="Schedule 15,51,53,54",SUM('Normalized Units'!S$228:S$233,'Normalized Units'!S$251:S$256),SUMIFS(S$195:S$256,$C$195:$C$256,$C262,$E$195:$E$256,$E262))</f>
        <v>39162487.317504823</v>
      </c>
      <c r="T262" s="141">
        <f>IF($C262="Schedule 15,51,53,54",SUM('Normalized Units'!T$228:T$233,'Normalized Units'!T$251:T$256),SUMIFS(T$195:T$256,$C$195:$C$256,$C262,$E$195:$E$256,$E262))</f>
        <v>39751514.681575239</v>
      </c>
      <c r="U262" s="141">
        <f>IF($C262="Schedule 15,51,53,54",SUM('Normalized Units'!U$228:U$233,'Normalized Units'!U$251:U$256),SUMIFS(U$195:U$256,$C$195:$C$256,$C262,$E$195:$E$256,$E262))</f>
        <v>39968341.465038106</v>
      </c>
    </row>
    <row r="263" spans="2:21">
      <c r="B263" s="100" t="s">
        <v>330</v>
      </c>
      <c r="C263" s="227" t="s">
        <v>279</v>
      </c>
      <c r="D263" s="102" t="s">
        <v>195</v>
      </c>
      <c r="E263" s="141" t="s">
        <v>176</v>
      </c>
      <c r="F263" s="102" t="s">
        <v>195</v>
      </c>
      <c r="G263" s="102" t="s">
        <v>195</v>
      </c>
      <c r="H263" s="102" t="s">
        <v>6</v>
      </c>
      <c r="I263" s="100">
        <f t="shared" si="16"/>
        <v>922069275.13726711</v>
      </c>
      <c r="J263" s="141">
        <f>IF($C263="Schedule 15,51,53,54",SUM('Normalized Units'!J$228:J$233,'Normalized Units'!J$251:J$256),SUMIFS(J$195:J$256,$C$195:$C$256,$C263,$E$195:$E$256,$E263))</f>
        <v>76577993.57689707</v>
      </c>
      <c r="K263" s="141">
        <f>IF($C263="Schedule 15,51,53,54",SUM('Normalized Units'!K$228:K$233,'Normalized Units'!K$251:K$256),SUMIFS(K$195:K$256,$C$195:$C$256,$C263,$E$195:$E$256,$E263))</f>
        <v>81453953.501539364</v>
      </c>
      <c r="L263" s="141">
        <f>IF($C263="Schedule 15,51,53,54",SUM('Normalized Units'!L$228:L$233,'Normalized Units'!L$251:L$256),SUMIFS(L$195:L$256,$C$195:$C$256,$C263,$E$195:$E$256,$E263))</f>
        <v>84223570.523290947</v>
      </c>
      <c r="M263" s="141">
        <f>IF($C263="Schedule 15,51,53,54",SUM('Normalized Units'!M$228:M$233,'Normalized Units'!M$251:M$256),SUMIFS(M$195:M$256,$C$195:$C$256,$C263,$E$195:$E$256,$E263))</f>
        <v>86722375.606678769</v>
      </c>
      <c r="N263" s="141">
        <f>IF($C263="Schedule 15,51,53,54",SUM('Normalized Units'!N$228:N$233,'Normalized Units'!N$251:N$256),SUMIFS(N$195:N$256,$C$195:$C$256,$C263,$E$195:$E$256,$E263))</f>
        <v>83121870.932266116</v>
      </c>
      <c r="O263" s="141">
        <f>IF($C263="Schedule 15,51,53,54",SUM('Normalized Units'!O$228:O$233,'Normalized Units'!O$251:O$256),SUMIFS(O$195:O$256,$C$195:$C$256,$C263,$E$195:$E$256,$E263))</f>
        <v>83586104.88014707</v>
      </c>
      <c r="P263" s="141">
        <f>IF($C263="Schedule 15,51,53,54",SUM('Normalized Units'!P$228:P$233,'Normalized Units'!P$251:P$256),SUMIFS(P$195:P$256,$C$195:$C$256,$C263,$E$195:$E$256,$E263))</f>
        <v>77692973.768916547</v>
      </c>
      <c r="Q263" s="141">
        <f>IF($C263="Schedule 15,51,53,54",SUM('Normalized Units'!Q$228:Q$233,'Normalized Units'!Q$251:Q$256),SUMIFS(Q$195:Q$256,$C$195:$C$256,$C263,$E$195:$E$256,$E263))</f>
        <v>73121094.41322808</v>
      </c>
      <c r="R263" s="141">
        <f>IF($C263="Schedule 15,51,53,54",SUM('Normalized Units'!R$228:R$233,'Normalized Units'!R$251:R$256),SUMIFS(R$195:R$256,$C$195:$C$256,$C263,$E$195:$E$256,$E263))</f>
        <v>71118308.313494876</v>
      </c>
      <c r="S263" s="141">
        <f>IF($C263="Schedule 15,51,53,54",SUM('Normalized Units'!S$228:S$233,'Normalized Units'!S$251:S$256),SUMIFS(S$195:S$256,$C$195:$C$256,$C263,$E$195:$E$256,$E263))</f>
        <v>66664646.15493869</v>
      </c>
      <c r="T263" s="141">
        <f>IF($C263="Schedule 15,51,53,54",SUM('Normalized Units'!T$228:T$233,'Normalized Units'!T$251:T$256),SUMIFS(T$195:T$256,$C$195:$C$256,$C263,$E$195:$E$256,$E263))</f>
        <v>68094591.447524875</v>
      </c>
      <c r="U263" s="141">
        <f>IF($C263="Schedule 15,51,53,54",SUM('Normalized Units'!U$228:U$233,'Normalized Units'!U$251:U$256),SUMIFS(U$195:U$256,$C$195:$C$256,$C263,$E$195:$E$256,$E263))</f>
        <v>69691792.01834476</v>
      </c>
    </row>
    <row r="264" spans="2:21">
      <c r="B264" s="100" t="s">
        <v>330</v>
      </c>
      <c r="C264" s="227" t="s">
        <v>279</v>
      </c>
      <c r="D264" s="102" t="s">
        <v>195</v>
      </c>
      <c r="E264" s="141" t="s">
        <v>177</v>
      </c>
      <c r="F264" s="102" t="s">
        <v>195</v>
      </c>
      <c r="G264" s="102" t="s">
        <v>195</v>
      </c>
      <c r="H264" s="102" t="s">
        <v>6</v>
      </c>
      <c r="I264" s="100">
        <f t="shared" si="16"/>
        <v>10527566.700870086</v>
      </c>
      <c r="J264" s="141">
        <f>IF($C264="Schedule 15,51,53,54",SUM('Normalized Units'!J$228:J$233,'Normalized Units'!J$251:J$256),SUMIFS(J$195:J$256,$C$195:$C$256,$C264,$E$195:$E$256,$E264))</f>
        <v>863948.65324150771</v>
      </c>
      <c r="K264" s="141">
        <f>IF($C264="Schedule 15,51,53,54",SUM('Normalized Units'!K$228:K$233,'Normalized Units'!K$251:K$256),SUMIFS(K$195:K$256,$C$195:$C$256,$C264,$E$195:$E$256,$E264))</f>
        <v>1011827.1278763207</v>
      </c>
      <c r="L264" s="141">
        <f>IF($C264="Schedule 15,51,53,54",SUM('Normalized Units'!L$228:L$233,'Normalized Units'!L$251:L$256),SUMIFS(L$195:L$256,$C$195:$C$256,$C264,$E$195:$E$256,$E264))</f>
        <v>995069.60979129618</v>
      </c>
      <c r="M264" s="141">
        <f>IF($C264="Schedule 15,51,53,54",SUM('Normalized Units'!M$228:M$233,'Normalized Units'!M$251:M$256),SUMIFS(M$195:M$256,$C$195:$C$256,$C264,$E$195:$E$256,$E264))</f>
        <v>905653.17817712983</v>
      </c>
      <c r="N264" s="141">
        <f>IF($C264="Schedule 15,51,53,54",SUM('Normalized Units'!N$228:N$233,'Normalized Units'!N$251:N$256),SUMIFS(N$195:N$256,$C$195:$C$256,$C264,$E$195:$E$256,$E264))</f>
        <v>961438.71803229558</v>
      </c>
      <c r="O264" s="141">
        <f>IF($C264="Schedule 15,51,53,54",SUM('Normalized Units'!O$228:O$233,'Normalized Units'!O$251:O$256),SUMIFS(O$195:O$256,$C$195:$C$256,$C264,$E$195:$E$256,$E264))</f>
        <v>943299.24890560925</v>
      </c>
      <c r="P264" s="141">
        <f>IF($C264="Schedule 15,51,53,54",SUM('Normalized Units'!P$228:P$233,'Normalized Units'!P$251:P$256),SUMIFS(P$195:P$256,$C$195:$C$256,$C264,$E$195:$E$256,$E264))</f>
        <v>912105.3899045086</v>
      </c>
      <c r="Q264" s="141">
        <f>IF($C264="Schedule 15,51,53,54",SUM('Normalized Units'!Q$228:Q$233,'Normalized Units'!Q$251:Q$256),SUMIFS(Q$195:Q$256,$C$195:$C$256,$C264,$E$195:$E$256,$E264))</f>
        <v>848463.66443724767</v>
      </c>
      <c r="R264" s="141">
        <f>IF($C264="Schedule 15,51,53,54",SUM('Normalized Units'!R$228:R$233,'Normalized Units'!R$251:R$256),SUMIFS(R$195:R$256,$C$195:$C$256,$C264,$E$195:$E$256,$E264))</f>
        <v>773309.72544788069</v>
      </c>
      <c r="S264" s="141">
        <f>IF($C264="Schedule 15,51,53,54",SUM('Normalized Units'!S$228:S$233,'Normalized Units'!S$251:S$256),SUMIFS(S$195:S$256,$C$195:$C$256,$C264,$E$195:$E$256,$E264))</f>
        <v>722356.65220017731</v>
      </c>
      <c r="T264" s="141">
        <f>IF($C264="Schedule 15,51,53,54",SUM('Normalized Units'!T$228:T$233,'Normalized Units'!T$251:T$256),SUMIFS(T$195:T$256,$C$195:$C$256,$C264,$E$195:$E$256,$E264))</f>
        <v>868574.16813171713</v>
      </c>
      <c r="U264" s="141">
        <f>IF($C264="Schedule 15,51,53,54",SUM('Normalized Units'!U$228:U$233,'Normalized Units'!U$251:U$256),SUMIFS(U$195:U$256,$C$195:$C$256,$C264,$E$195:$E$256,$E264))</f>
        <v>721520.56472439447</v>
      </c>
    </row>
    <row r="265" spans="2:21">
      <c r="B265" s="100" t="s">
        <v>330</v>
      </c>
      <c r="C265" s="141" t="s">
        <v>172</v>
      </c>
      <c r="D265" s="102" t="s">
        <v>195</v>
      </c>
      <c r="E265" s="141" t="s">
        <v>176</v>
      </c>
      <c r="F265" s="102" t="s">
        <v>195</v>
      </c>
      <c r="G265" s="102" t="s">
        <v>195</v>
      </c>
      <c r="H265" s="102" t="s">
        <v>6</v>
      </c>
      <c r="I265" s="100">
        <f t="shared" si="16"/>
        <v>324478745.60633916</v>
      </c>
      <c r="J265" s="141">
        <f>IF($C265="Schedule 15,51,53,54",SUM('Normalized Units'!J$228:J$233,'Normalized Units'!J$251:J$256),SUMIFS(J$195:J$256,$C$195:$C$256,$C265,$E$195:$E$256,$E265))</f>
        <v>30024181.973321062</v>
      </c>
      <c r="K265" s="141">
        <f>IF($C265="Schedule 15,51,53,54",SUM('Normalized Units'!K$228:K$233,'Normalized Units'!K$251:K$256),SUMIFS(K$195:K$256,$C$195:$C$256,$C265,$E$195:$E$256,$E265))</f>
        <v>28247286.227545887</v>
      </c>
      <c r="L265" s="141">
        <f>IF($C265="Schedule 15,51,53,54",SUM('Normalized Units'!L$228:L$233,'Normalized Units'!L$251:L$256),SUMIFS(L$195:L$256,$C$195:$C$256,$C265,$E$195:$E$256,$E265))</f>
        <v>29273773.711429223</v>
      </c>
      <c r="M265" s="141">
        <f>IF($C265="Schedule 15,51,53,54",SUM('Normalized Units'!M$228:M$233,'Normalized Units'!M$251:M$256),SUMIFS(M$195:M$256,$C$195:$C$256,$C265,$E$195:$E$256,$E265))</f>
        <v>29381861.078878943</v>
      </c>
      <c r="N265" s="141">
        <f>IF($C265="Schedule 15,51,53,54",SUM('Normalized Units'!N$228:N$233,'Normalized Units'!N$251:N$256),SUMIFS(N$195:N$256,$C$195:$C$256,$C265,$E$195:$E$256,$E265))</f>
        <v>29757095.555886444</v>
      </c>
      <c r="O265" s="141">
        <f>IF($C265="Schedule 15,51,53,54",SUM('Normalized Units'!O$228:O$233,'Normalized Units'!O$251:O$256),SUMIFS(O$195:O$256,$C$195:$C$256,$C265,$E$195:$E$256,$E265))</f>
        <v>27510747.364386164</v>
      </c>
      <c r="P265" s="141">
        <f>IF($C265="Schedule 15,51,53,54",SUM('Normalized Units'!P$228:P$233,'Normalized Units'!P$251:P$256),SUMIFS(P$195:P$256,$C$195:$C$256,$C265,$E$195:$E$256,$E265))</f>
        <v>24695008.502139259</v>
      </c>
      <c r="Q265" s="141">
        <f>IF($C265="Schedule 15,51,53,54",SUM('Normalized Units'!Q$228:Q$233,'Normalized Units'!Q$251:Q$256),SUMIFS(Q$195:Q$256,$C$195:$C$256,$C265,$E$195:$E$256,$E265))</f>
        <v>25027472.763430737</v>
      </c>
      <c r="R265" s="141">
        <f>IF($C265="Schedule 15,51,53,54",SUM('Normalized Units'!R$228:R$233,'Normalized Units'!R$251:R$256),SUMIFS(R$195:R$256,$C$195:$C$256,$C265,$E$195:$E$256,$E265))</f>
        <v>25039666.578196816</v>
      </c>
      <c r="S265" s="141">
        <f>IF($C265="Schedule 15,51,53,54",SUM('Normalized Units'!S$228:S$233,'Normalized Units'!S$251:S$256),SUMIFS(S$195:S$256,$C$195:$C$256,$C265,$E$195:$E$256,$E265))</f>
        <v>24970344.870513849</v>
      </c>
      <c r="T265" s="141">
        <f>IF($C265="Schedule 15,51,53,54",SUM('Normalized Units'!T$228:T$233,'Normalized Units'!T$251:T$256),SUMIFS(T$195:T$256,$C$195:$C$256,$C265,$E$195:$E$256,$E265))</f>
        <v>24667379.929165084</v>
      </c>
      <c r="U265" s="141">
        <f>IF($C265="Schedule 15,51,53,54",SUM('Normalized Units'!U$228:U$233,'Normalized Units'!U$251:U$256),SUMIFS(U$195:U$256,$C$195:$C$256,$C265,$E$195:$E$256,$E265))</f>
        <v>25883927.051445637</v>
      </c>
    </row>
    <row r="266" spans="2:21">
      <c r="B266" s="100" t="s">
        <v>330</v>
      </c>
      <c r="C266" s="141" t="s">
        <v>172</v>
      </c>
      <c r="D266" s="102" t="s">
        <v>195</v>
      </c>
      <c r="E266" s="141" t="s">
        <v>177</v>
      </c>
      <c r="F266" s="102" t="s">
        <v>195</v>
      </c>
      <c r="G266" s="102" t="s">
        <v>195</v>
      </c>
      <c r="H266" s="102" t="s">
        <v>6</v>
      </c>
      <c r="I266" s="100">
        <f t="shared" si="16"/>
        <v>52217824.538150415</v>
      </c>
      <c r="J266" s="141">
        <f>IF($C266="Schedule 15,51,53,54",SUM('Normalized Units'!J$228:J$233,'Normalized Units'!J$251:J$256),SUMIFS(J$195:J$256,$C$195:$C$256,$C266,$E$195:$E$256,$E266))</f>
        <v>4885747.3927753503</v>
      </c>
      <c r="K266" s="141">
        <f>IF($C266="Schedule 15,51,53,54",SUM('Normalized Units'!K$228:K$233,'Normalized Units'!K$251:K$256),SUMIFS(K$195:K$256,$C$195:$C$256,$C266,$E$195:$E$256,$E266))</f>
        <v>5237715.6705300966</v>
      </c>
      <c r="L266" s="141">
        <f>IF($C266="Schedule 15,51,53,54",SUM('Normalized Units'!L$228:L$233,'Normalized Units'!L$251:L$256),SUMIFS(L$195:L$256,$C$195:$C$256,$C266,$E$195:$E$256,$E266))</f>
        <v>4547384.3656852758</v>
      </c>
      <c r="M266" s="141">
        <f>IF($C266="Schedule 15,51,53,54",SUM('Normalized Units'!M$228:M$233,'Normalized Units'!M$251:M$256),SUMIFS(M$195:M$256,$C$195:$C$256,$C266,$E$195:$E$256,$E266))</f>
        <v>4529464.0292613488</v>
      </c>
      <c r="N266" s="141">
        <f>IF($C266="Schedule 15,51,53,54",SUM('Normalized Units'!N$228:N$233,'Normalized Units'!N$251:N$256),SUMIFS(N$195:N$256,$C$195:$C$256,$C266,$E$195:$E$256,$E266))</f>
        <v>4320358.8939178232</v>
      </c>
      <c r="O266" s="141">
        <f>IF($C266="Schedule 15,51,53,54",SUM('Normalized Units'!O$228:O$233,'Normalized Units'!O$251:O$256),SUMIFS(O$195:O$256,$C$195:$C$256,$C266,$E$195:$E$256,$E266))</f>
        <v>4780225.37946444</v>
      </c>
      <c r="P266" s="141">
        <f>IF($C266="Schedule 15,51,53,54",SUM('Normalized Units'!P$228:P$233,'Normalized Units'!P$251:P$256),SUMIFS(P$195:P$256,$C$195:$C$256,$C266,$E$195:$E$256,$E266))</f>
        <v>4307740.0324268527</v>
      </c>
      <c r="Q266" s="141">
        <f>IF($C266="Schedule 15,51,53,54",SUM('Normalized Units'!Q$228:Q$233,'Normalized Units'!Q$251:Q$256),SUMIFS(Q$195:Q$256,$C$195:$C$256,$C266,$E$195:$E$256,$E266))</f>
        <v>4189171.2003893587</v>
      </c>
      <c r="R266" s="141">
        <f>IF($C266="Schedule 15,51,53,54",SUM('Normalized Units'!R$228:R$233,'Normalized Units'!R$251:R$256),SUMIFS(R$195:R$256,$C$195:$C$256,$C266,$E$195:$E$256,$E266))</f>
        <v>3964876.3645199845</v>
      </c>
      <c r="S266" s="141">
        <f>IF($C266="Schedule 15,51,53,54",SUM('Normalized Units'!S$228:S$233,'Normalized Units'!S$251:S$256),SUMIFS(S$195:S$256,$C$195:$C$256,$C266,$E$195:$E$256,$E266))</f>
        <v>3768562.5278361314</v>
      </c>
      <c r="T266" s="141">
        <f>IF($C266="Schedule 15,51,53,54",SUM('Normalized Units'!T$228:T$233,'Normalized Units'!T$251:T$256),SUMIFS(T$195:T$256,$C$195:$C$256,$C266,$E$195:$E$256,$E266))</f>
        <v>3806744.9829342291</v>
      </c>
      <c r="U266" s="141">
        <f>IF($C266="Schedule 15,51,53,54",SUM('Normalized Units'!U$228:U$233,'Normalized Units'!U$251:U$256),SUMIFS(U$195:U$256,$C$195:$C$256,$C266,$E$195:$E$256,$E266))</f>
        <v>3879833.6984095303</v>
      </c>
    </row>
    <row r="267" spans="2:21">
      <c r="B267" s="100" t="s">
        <v>330</v>
      </c>
      <c r="C267" s="227" t="s">
        <v>287</v>
      </c>
      <c r="D267" s="102" t="s">
        <v>195</v>
      </c>
      <c r="E267" s="141" t="s">
        <v>177</v>
      </c>
      <c r="F267" s="102" t="s">
        <v>195</v>
      </c>
      <c r="G267" s="102" t="s">
        <v>195</v>
      </c>
      <c r="H267" s="102" t="s">
        <v>6</v>
      </c>
      <c r="I267" s="100">
        <f t="shared" si="16"/>
        <v>544168565.28857481</v>
      </c>
      <c r="J267" s="141">
        <f>IF($C267="Schedule 15,51,53,54",SUM('Normalized Units'!J$228:J$233,'Normalized Units'!J$251:J$256),SUMIFS(J$195:J$256,$C$195:$C$256,$C267,$E$195:$E$256,$E267))</f>
        <v>46354267.232863262</v>
      </c>
      <c r="K267" s="141">
        <f>IF($C267="Schedule 15,51,53,54",SUM('Normalized Units'!K$228:K$233,'Normalized Units'!K$251:K$256),SUMIFS(K$195:K$256,$C$195:$C$256,$C267,$E$195:$E$256,$E267))</f>
        <v>46060541.568033181</v>
      </c>
      <c r="L267" s="141">
        <f>IF($C267="Schedule 15,51,53,54",SUM('Normalized Units'!L$228:L$233,'Normalized Units'!L$251:L$256),SUMIFS(L$195:L$256,$C$195:$C$256,$C267,$E$195:$E$256,$E267))</f>
        <v>46941718.674797967</v>
      </c>
      <c r="M267" s="141">
        <f>IF($C267="Schedule 15,51,53,54",SUM('Normalized Units'!M$228:M$233,'Normalized Units'!M$251:M$256),SUMIFS(M$195:M$256,$C$195:$C$256,$C267,$E$195:$E$256,$E267))</f>
        <v>44581034.289620548</v>
      </c>
      <c r="N267" s="141">
        <f>IF($C267="Schedule 15,51,53,54",SUM('Normalized Units'!N$228:N$233,'Normalized Units'!N$251:N$256),SUMIFS(N$195:N$256,$C$195:$C$256,$C267,$E$195:$E$256,$E267))</f>
        <v>45512978.951412737</v>
      </c>
      <c r="O267" s="141">
        <f>IF($C267="Schedule 15,51,53,54",SUM('Normalized Units'!O$228:O$233,'Normalized Units'!O$251:O$256),SUMIFS(O$195:O$256,$C$195:$C$256,$C267,$E$195:$E$256,$E267))</f>
        <v>44435984.672386482</v>
      </c>
      <c r="P267" s="141">
        <f>IF($C267="Schedule 15,51,53,54",SUM('Normalized Units'!P$228:P$233,'Normalized Units'!P$251:P$256),SUMIFS(P$195:P$256,$C$195:$C$256,$C267,$E$195:$E$256,$E267))</f>
        <v>47224565.684764601</v>
      </c>
      <c r="Q267" s="141">
        <f>IF($C267="Schedule 15,51,53,54",SUM('Normalized Units'!Q$228:Q$233,'Normalized Units'!Q$251:Q$256),SUMIFS(Q$195:Q$256,$C$195:$C$256,$C267,$E$195:$E$256,$E267))</f>
        <v>46604478.165965006</v>
      </c>
      <c r="R267" s="141">
        <f>IF($C267="Schedule 15,51,53,54",SUM('Normalized Units'!R$228:R$233,'Normalized Units'!R$251:R$256),SUMIFS(R$195:R$256,$C$195:$C$256,$C267,$E$195:$E$256,$E267))</f>
        <v>43290091.649590172</v>
      </c>
      <c r="S267" s="141">
        <f>IF($C267="Schedule 15,51,53,54",SUM('Normalized Units'!S$228:S$233,'Normalized Units'!S$251:S$256),SUMIFS(S$195:S$256,$C$195:$C$256,$C267,$E$195:$E$256,$E267))</f>
        <v>43188557.09157563</v>
      </c>
      <c r="T267" s="141">
        <f>IF($C267="Schedule 15,51,53,54",SUM('Normalized Units'!T$228:T$233,'Normalized Units'!T$251:T$256),SUMIFS(T$195:T$256,$C$195:$C$256,$C267,$E$195:$E$256,$E267))</f>
        <v>42898457.532075517</v>
      </c>
      <c r="U267" s="141">
        <f>IF($C267="Schedule 15,51,53,54",SUM('Normalized Units'!U$228:U$233,'Normalized Units'!U$251:U$256),SUMIFS(U$195:U$256,$C$195:$C$256,$C267,$E$195:$E$256,$E267))</f>
        <v>47075889.775489599</v>
      </c>
    </row>
    <row r="268" spans="2:21">
      <c r="B268" s="100" t="s">
        <v>330</v>
      </c>
      <c r="C268" s="141" t="s">
        <v>152</v>
      </c>
      <c r="D268" s="102" t="s">
        <v>195</v>
      </c>
      <c r="E268" s="141" t="s">
        <v>195</v>
      </c>
      <c r="F268" s="102" t="s">
        <v>195</v>
      </c>
      <c r="G268" s="102" t="s">
        <v>195</v>
      </c>
      <c r="H268" s="102" t="s">
        <v>6</v>
      </c>
      <c r="I268" s="100">
        <f t="shared" si="16"/>
        <v>152841487.16573822</v>
      </c>
      <c r="J268" s="141">
        <f>IF($C268="Schedule 15,51,53,54",SUM('Normalized Units'!J$228:J$233,'Normalized Units'!J$251:J$256),SUMIFS(J$195:J$256,$C$195:$C$256,$C268,$E$195:$E$256,$E268))</f>
        <v>30903359.040253222</v>
      </c>
      <c r="K268" s="141">
        <f>IF($C268="Schedule 15,51,53,54",SUM('Normalized Units'!K$228:K$233,'Normalized Units'!K$251:K$256),SUMIFS(K$195:K$256,$C$195:$C$256,$C268,$E$195:$E$256,$E268))</f>
        <v>33490996.894180678</v>
      </c>
      <c r="L268" s="141">
        <f>IF($C268="Schedule 15,51,53,54",SUM('Normalized Units'!L$228:L$233,'Normalized Units'!L$251:L$256),SUMIFS(L$195:L$256,$C$195:$C$256,$C268,$E$195:$E$256,$E268))</f>
        <v>26225394.423008308</v>
      </c>
      <c r="M268" s="141">
        <f>IF($C268="Schedule 15,51,53,54",SUM('Normalized Units'!M$228:M$233,'Normalized Units'!M$251:M$256),SUMIFS(M$195:M$256,$C$195:$C$256,$C268,$E$195:$E$256,$E268))</f>
        <v>14814041.997242451</v>
      </c>
      <c r="N268" s="141">
        <f>IF($C268="Schedule 15,51,53,54",SUM('Normalized Units'!N$228:N$233,'Normalized Units'!N$251:N$256),SUMIFS(N$195:N$256,$C$195:$C$256,$C268,$E$195:$E$256,$E268))</f>
        <v>4310576.7716076737</v>
      </c>
      <c r="O268" s="141">
        <f>IF($C268="Schedule 15,51,53,54",SUM('Normalized Units'!O$228:O$233,'Normalized Units'!O$251:O$256),SUMIFS(O$195:O$256,$C$195:$C$256,$C268,$E$195:$E$256,$E268))</f>
        <v>795141.81043523434</v>
      </c>
      <c r="P268" s="141">
        <f>IF($C268="Schedule 15,51,53,54",SUM('Normalized Units'!P$228:P$233,'Normalized Units'!P$251:P$256),SUMIFS(P$195:P$256,$C$195:$C$256,$C268,$E$195:$E$256,$E268))</f>
        <v>516336.22182470665</v>
      </c>
      <c r="Q268" s="141">
        <f>IF($C268="Schedule 15,51,53,54",SUM('Normalized Units'!Q$228:Q$233,'Normalized Units'!Q$251:Q$256),SUMIFS(Q$195:Q$256,$C$195:$C$256,$C268,$E$195:$E$256,$E268))</f>
        <v>498195.06194935995</v>
      </c>
      <c r="R268" s="141">
        <f>IF($C268="Schedule 15,51,53,54",SUM('Normalized Units'!R$228:R$233,'Normalized Units'!R$251:R$256),SUMIFS(R$195:R$256,$C$195:$C$256,$C268,$E$195:$E$256,$E268))</f>
        <v>2359327.7966310955</v>
      </c>
      <c r="S268" s="141">
        <f>IF($C268="Schedule 15,51,53,54",SUM('Normalized Units'!S$228:S$233,'Normalized Units'!S$251:S$256),SUMIFS(S$195:S$256,$C$195:$C$256,$C268,$E$195:$E$256,$E268))</f>
        <v>8742077.8012376893</v>
      </c>
      <c r="T268" s="141">
        <f>IF($C268="Schedule 15,51,53,54",SUM('Normalized Units'!T$228:T$233,'Normalized Units'!T$251:T$256),SUMIFS(T$195:T$256,$C$195:$C$256,$C268,$E$195:$E$256,$E268))</f>
        <v>12957065.994799087</v>
      </c>
      <c r="U268" s="141">
        <f>IF($C268="Schedule 15,51,53,54",SUM('Normalized Units'!U$228:U$233,'Normalized Units'!U$251:U$256),SUMIFS(U$195:U$256,$C$195:$C$256,$C268,$E$195:$E$256,$E268))</f>
        <v>17228973.352568753</v>
      </c>
    </row>
    <row r="269" spans="2:21">
      <c r="B269" s="100" t="s">
        <v>330</v>
      </c>
      <c r="C269" s="228" t="s">
        <v>331</v>
      </c>
      <c r="D269" s="102" t="s">
        <v>195</v>
      </c>
      <c r="E269" s="141" t="s">
        <v>195</v>
      </c>
      <c r="F269" s="102" t="s">
        <v>195</v>
      </c>
      <c r="G269" s="102" t="s">
        <v>195</v>
      </c>
      <c r="H269" s="102" t="s">
        <v>6</v>
      </c>
      <c r="I269" s="100">
        <f t="shared" si="16"/>
        <v>6952920.3925157655</v>
      </c>
      <c r="J269" s="141">
        <f>IF($C269="Schedule 15,51,53,54",SUM('Normalized Units'!J$228:J$233,'Normalized Units'!J$251:J$256),SUMIFS(J$195:J$256,$C$195:$C$256,$C269,$E$195:$E$256,$E269))</f>
        <v>561364.35226087563</v>
      </c>
      <c r="K269" s="141">
        <f>IF($C269="Schedule 15,51,53,54",SUM('Normalized Units'!K$228:K$233,'Normalized Units'!K$251:K$256),SUMIFS(K$195:K$256,$C$195:$C$256,$C269,$E$195:$E$256,$E269))</f>
        <v>560953.7382914226</v>
      </c>
      <c r="L269" s="141">
        <f>IF($C269="Schedule 15,51,53,54",SUM('Normalized Units'!L$228:L$233,'Normalized Units'!L$251:L$256),SUMIFS(L$195:L$256,$C$195:$C$256,$C269,$E$195:$E$256,$E269))</f>
        <v>563160.72890687385</v>
      </c>
      <c r="M269" s="141">
        <f>IF($C269="Schedule 15,51,53,54",SUM('Normalized Units'!M$228:M$233,'Normalized Units'!M$251:M$256),SUMIFS(M$195:M$256,$C$195:$C$256,$C269,$E$195:$E$256,$E269))</f>
        <v>579018.23464571452</v>
      </c>
      <c r="N269" s="141">
        <f>IF($C269="Schedule 15,51,53,54",SUM('Normalized Units'!N$228:N$233,'Normalized Units'!N$251:N$256),SUMIFS(N$195:N$256,$C$195:$C$256,$C269,$E$195:$E$256,$E269))</f>
        <v>596448.91885353241</v>
      </c>
      <c r="O269" s="141">
        <f>IF($C269="Schedule 15,51,53,54",SUM('Normalized Units'!O$228:O$233,'Normalized Units'!O$251:O$256),SUMIFS(O$195:O$256,$C$195:$C$256,$C269,$E$195:$E$256,$E269))</f>
        <v>603862.39715947607</v>
      </c>
      <c r="P269" s="141">
        <f>IF($C269="Schedule 15,51,53,54",SUM('Normalized Units'!P$228:P$233,'Normalized Units'!P$251:P$256),SUMIFS(P$195:P$256,$C$195:$C$256,$C269,$E$195:$E$256,$E269))</f>
        <v>600259.67961441667</v>
      </c>
      <c r="Q269" s="141">
        <f>IF($C269="Schedule 15,51,53,54",SUM('Normalized Units'!Q$228:Q$233,'Normalized Units'!Q$251:Q$256),SUMIFS(Q$195:Q$256,$C$195:$C$256,$C269,$E$195:$E$256,$E269))</f>
        <v>591436.41080835182</v>
      </c>
      <c r="R269" s="141">
        <f>IF($C269="Schedule 15,51,53,54",SUM('Normalized Units'!R$228:R$233,'Normalized Units'!R$251:R$256),SUMIFS(R$195:R$256,$C$195:$C$256,$C269,$E$195:$E$256,$E269))</f>
        <v>595683.92872489197</v>
      </c>
      <c r="S269" s="141">
        <f>IF($C269="Schedule 15,51,53,54",SUM('Normalized Units'!S$228:S$233,'Normalized Units'!S$251:S$256),SUMIFS(S$195:S$256,$C$195:$C$256,$C269,$E$195:$E$256,$E269))</f>
        <v>581111.36801267264</v>
      </c>
      <c r="T269" s="141">
        <f>IF($C269="Schedule 15,51,53,54",SUM('Normalized Units'!T$228:T$233,'Normalized Units'!T$251:T$256),SUMIFS(T$195:T$256,$C$195:$C$256,$C269,$E$195:$E$256,$E269))</f>
        <v>562971.9314278852</v>
      </c>
      <c r="U269" s="141">
        <f>IF($C269="Schedule 15,51,53,54",SUM('Normalized Units'!U$228:U$233,'Normalized Units'!U$251:U$256),SUMIFS(U$195:U$256,$C$195:$C$256,$C269,$E$195:$E$256,$E269))</f>
        <v>556648.70380965294</v>
      </c>
    </row>
    <row r="270" spans="2:21">
      <c r="B270" s="152" t="s">
        <v>330</v>
      </c>
      <c r="C270" s="142" t="s">
        <v>252</v>
      </c>
      <c r="D270" s="150" t="s">
        <v>195</v>
      </c>
      <c r="E270" s="142" t="s">
        <v>176</v>
      </c>
      <c r="F270" s="150" t="s">
        <v>195</v>
      </c>
      <c r="G270" s="150" t="s">
        <v>195</v>
      </c>
      <c r="H270" s="150" t="s">
        <v>6</v>
      </c>
      <c r="I270" s="100">
        <f t="shared" si="16"/>
        <v>1689224.9749023144</v>
      </c>
      <c r="J270" s="142">
        <f>IF($C270="Schedule 15,51,53,54",SUM('Normalized Units'!J$228:J$233,'Normalized Units'!J$251:J$256),SUMIFS(J$195:J$256,$C$195:$C$256,$C270,$E$195:$E$256,$E270))</f>
        <v>123896.64395526815</v>
      </c>
      <c r="K270" s="142">
        <f>IF($C270="Schedule 15,51,53,54",SUM('Normalized Units'!K$228:K$233,'Normalized Units'!K$251:K$256),SUMIFS(K$195:K$256,$C$195:$C$256,$C270,$E$195:$E$256,$E270))</f>
        <v>174261.13336797879</v>
      </c>
      <c r="L270" s="142">
        <f>IF($C270="Schedule 15,51,53,54",SUM('Normalized Units'!L$228:L$233,'Normalized Units'!L$251:L$256),SUMIFS(L$195:L$256,$C$195:$C$256,$C270,$E$195:$E$256,$E270))</f>
        <v>171239.26400321614</v>
      </c>
      <c r="M270" s="142">
        <f>IF($C270="Schedule 15,51,53,54",SUM('Normalized Units'!M$228:M$233,'Normalized Units'!M$251:M$256),SUMIFS(M$195:M$256,$C$195:$C$256,$C270,$E$195:$E$256,$E270))</f>
        <v>119867.4848022513</v>
      </c>
      <c r="N270" s="142">
        <f>IF($C270="Schedule 15,51,53,54",SUM('Normalized Units'!N$228:N$233,'Normalized Units'!N$251:N$256),SUMIFS(N$195:N$256,$C$195:$C$256,$C270,$E$195:$E$256,$E270))</f>
        <v>137998.70099082711</v>
      </c>
      <c r="O270" s="142">
        <f>IF($C270="Schedule 15,51,53,54",SUM('Normalized Units'!O$228:O$233,'Normalized Units'!O$251:O$256),SUMIFS(O$195:O$256,$C$195:$C$256,$C270,$E$195:$E$256,$E270))</f>
        <v>132962.25204955606</v>
      </c>
      <c r="P270" s="142">
        <f>IF($C270="Schedule 15,51,53,54",SUM('Normalized Units'!P$228:P$233,'Normalized Units'!P$251:P$256),SUMIFS(P$195:P$256,$C$195:$C$256,$C270,$E$195:$E$256,$E270))</f>
        <v>374711.8012305671</v>
      </c>
      <c r="Q270" s="142">
        <f>IF($C270="Schedule 15,51,53,54",SUM('Normalized Units'!Q$228:Q$233,'Normalized Units'!Q$251:Q$256),SUMIFS(Q$195:Q$256,$C$195:$C$256,$C270,$E$195:$E$256,$E270))</f>
        <v>101736.26861367549</v>
      </c>
      <c r="R270" s="142">
        <f>IF($C270="Schedule 15,51,53,54",SUM('Normalized Units'!R$228:R$233,'Normalized Units'!R$251:R$256),SUMIFS(R$195:R$256,$C$195:$C$256,$C270,$E$195:$E$256,$E270))</f>
        <v>102743.55840192968</v>
      </c>
      <c r="S270" s="142">
        <f>IF($C270="Schedule 15,51,53,54",SUM('Normalized Units'!S$228:S$233,'Normalized Units'!S$251:S$256),SUMIFS(S$195:S$256,$C$195:$C$256,$C270,$E$195:$E$256,$E270))</f>
        <v>71517.574966049098</v>
      </c>
      <c r="T270" s="142">
        <f>IF($C270="Schedule 15,51,53,54",SUM('Normalized Units'!T$228:T$233,'Normalized Units'!T$251:T$256),SUMIFS(T$195:T$256,$C$195:$C$256,$C270,$E$195:$E$256,$E270))</f>
        <v>85619.632001608057</v>
      </c>
      <c r="U270" s="142">
        <f>IF($C270="Schedule 15,51,53,54",SUM('Normalized Units'!U$228:U$233,'Normalized Units'!U$251:U$256),SUMIFS(U$195:U$256,$C$195:$C$256,$C270,$E$195:$E$256,$E270))</f>
        <v>92670.660519387558</v>
      </c>
    </row>
    <row r="271" spans="2:21"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</row>
    <row r="272" spans="2:21">
      <c r="B272" s="102" t="s">
        <v>355</v>
      </c>
      <c r="C272" s="148" t="s">
        <v>422</v>
      </c>
      <c r="D272" s="100" t="s">
        <v>4</v>
      </c>
      <c r="E272" s="102" t="s">
        <v>195</v>
      </c>
      <c r="F272" s="102" t="s">
        <v>195</v>
      </c>
      <c r="G272" s="102" t="s">
        <v>195</v>
      </c>
      <c r="H272" s="100" t="s">
        <v>6</v>
      </c>
      <c r="I272" s="100">
        <f>SUM(J272:U272)</f>
        <v>-2080953.9801362143</v>
      </c>
      <c r="J272" s="100">
        <f>'Sch.16,17,19'!$Q$23*(J195-J149)+'Sch.16,17,19'!$Q$24*(J196-J150)</f>
        <v>-1900431.4078081381</v>
      </c>
      <c r="K272" s="100">
        <f>'Sch.16,17,19'!$Q$23*(K195-K149)+'Sch.16,17,19'!$Q$24*(K196-K150)</f>
        <v>-262240.9713212183</v>
      </c>
      <c r="L272" s="100">
        <f>'Sch.16,17,19'!$Q$23*(L195-L149)+'Sch.16,17,19'!$Q$24*(L196-L150)</f>
        <v>217305.44824789368</v>
      </c>
      <c r="M272" s="100">
        <f>'Sch.16,17,19'!$Q$23*(M195-M149)+'Sch.16,17,19'!$Q$24*(M196-M150)</f>
        <v>350832.10498269281</v>
      </c>
      <c r="N272" s="100">
        <f>'Sch.16,17,19'!$Q$23*(N195-N149)+'Sch.16,17,19'!$Q$24*(N196-N150)</f>
        <v>1744986.8161060493</v>
      </c>
      <c r="O272" s="100">
        <f>'Sch.16,17,19'!$Q$23*(O195-O149)+'Sch.16,17,19'!$Q$24*(O196-O150)</f>
        <v>1056719.725450543</v>
      </c>
      <c r="P272" s="100">
        <f>'Sch.16,17,19'!$Q$23*(P195-P149)+'Sch.16,17,19'!$Q$24*(P196-P150)</f>
        <v>-2351524.3349704286</v>
      </c>
      <c r="Q272" s="100">
        <f>'Sch.16,17,19'!$Q$23*(Q195-Q149)+'Sch.16,17,19'!$Q$24*(Q196-Q150)</f>
        <v>-533156.61189052742</v>
      </c>
      <c r="R272" s="100">
        <f>'Sch.16,17,19'!$Q$23*(R195-R149)+'Sch.16,17,19'!$Q$24*(R196-R150)</f>
        <v>939472.18104601884</v>
      </c>
      <c r="S272" s="100">
        <f>'Sch.16,17,19'!$Q$23*(S195-S149)+'Sch.16,17,19'!$Q$24*(S196-S150)</f>
        <v>-1698776.764379384</v>
      </c>
      <c r="T272" s="100">
        <f>'Sch.16,17,19'!$Q$23*(T195-T149)+'Sch.16,17,19'!$Q$24*(T196-T150)</f>
        <v>-63763.633376156162</v>
      </c>
      <c r="U272" s="100">
        <f>'Sch.16,17,19'!$Q$23*(U195-U149)+'Sch.16,17,19'!$Q$24*(U196-U150)</f>
        <v>419623.46777644067</v>
      </c>
    </row>
    <row r="273" spans="2:21">
      <c r="B273" s="102" t="s">
        <v>355</v>
      </c>
      <c r="C273" s="102" t="s">
        <v>229</v>
      </c>
      <c r="D273" s="102" t="s">
        <v>5</v>
      </c>
      <c r="E273" s="102" t="s">
        <v>195</v>
      </c>
      <c r="F273" s="102" t="s">
        <v>195</v>
      </c>
      <c r="G273" s="102" t="s">
        <v>195</v>
      </c>
      <c r="H273" s="100" t="s">
        <v>6</v>
      </c>
      <c r="I273" s="100">
        <f t="shared" ref="I273:I276" si="17">SUM(J273:U273)</f>
        <v>-69725.541098391186</v>
      </c>
      <c r="J273" s="100">
        <f>Sch.24!$S$59*(J200-J154)+Sch.24!$S$60*(J201-J155)+Sch.24!$S$61*(J202-J156)</f>
        <v>-261092.24201314425</v>
      </c>
      <c r="K273" s="100">
        <f>Sch.24!$S$59*(K200-K154)+Sch.24!$S$60*(K201-K155)+Sch.24!$S$61*(K202-K156)</f>
        <v>-26844.173157805842</v>
      </c>
      <c r="L273" s="100">
        <f>Sch.24!$S$59*(L200-L154)+Sch.24!$S$60*(L201-L155)+Sch.24!$S$61*(L202-L156)</f>
        <v>28477.628797828605</v>
      </c>
      <c r="M273" s="100">
        <f>Sch.24!$S$59*(M200-M154)+Sch.24!$S$60*(M201-M155)+Sch.24!$S$61*(M202-M156)</f>
        <v>19344.884457704306</v>
      </c>
      <c r="N273" s="100">
        <f>Sch.24!$S$59*(N200-N154)+Sch.24!$S$60*(N201-N155)+Sch.24!$S$61*(N202-N156)</f>
        <v>67711.778809347059</v>
      </c>
      <c r="O273" s="100">
        <f>Sch.24!$S$59*(O200-O154)+Sch.24!$S$60*(O201-O155)+Sch.24!$S$61*(O202-O156)</f>
        <v>48343.12051532061</v>
      </c>
      <c r="P273" s="100">
        <f>Sch.24!$S$59*(P200-P154)+Sch.24!$S$60*(P201-P155)+Sch.24!$S$61*(P202-P156)</f>
        <v>-116454.76197380392</v>
      </c>
      <c r="Q273" s="100">
        <f>Sch.24!$S$59*(Q200-Q154)+Sch.24!$S$60*(Q201-Q155)+Sch.24!$S$61*(Q202-Q156)</f>
        <v>-27052.07002045833</v>
      </c>
      <c r="R273" s="100">
        <f>Sch.24!$S$59*(R200-R154)+Sch.24!$S$60*(R201-R155)+Sch.24!$S$61*(R202-R156)</f>
        <v>30652.75807748938</v>
      </c>
      <c r="S273" s="100">
        <f>Sch.24!$S$59*(S200-S154)+Sch.24!$S$60*(S201-S155)+Sch.24!$S$61*(S202-S156)</f>
        <v>-21854.919869218022</v>
      </c>
      <c r="T273" s="100">
        <f>Sch.24!$S$59*(T200-T154)+Sch.24!$S$60*(T201-T155)+Sch.24!$S$61*(T202-T156)</f>
        <v>127805.6400376221</v>
      </c>
      <c r="U273" s="100">
        <f>Sch.24!$S$59*(U200-U154)+Sch.24!$S$60*(U201-U155)+Sch.24!$S$61*(U202-U156)</f>
        <v>61236.815240727112</v>
      </c>
    </row>
    <row r="274" spans="2:21">
      <c r="B274" s="102" t="s">
        <v>355</v>
      </c>
      <c r="C274" s="102" t="s">
        <v>279</v>
      </c>
      <c r="D274" s="102" t="s">
        <v>5</v>
      </c>
      <c r="E274" s="102" t="s">
        <v>195</v>
      </c>
      <c r="F274" s="102" t="s">
        <v>195</v>
      </c>
      <c r="G274" s="102" t="s">
        <v>195</v>
      </c>
      <c r="H274" s="100" t="s">
        <v>6</v>
      </c>
      <c r="I274" s="100">
        <f>SUM(J274:U274)</f>
        <v>-7224.5542701902741</v>
      </c>
      <c r="J274" s="100">
        <f>'Sch.29,36'!$S$46*(J208+J210-J162-J164)+'Sch.29,36'!$S$47*(J209+J211-J163-J165)</f>
        <v>-269306.91055047902</v>
      </c>
      <c r="K274" s="100">
        <f>'Sch.29,36'!$S$46*(K208+K210-K162-K164)+'Sch.29,36'!$S$47*(K209+K211-K163-K165)</f>
        <v>-29202.814595846852</v>
      </c>
      <c r="L274" s="100">
        <f>'Sch.29,36'!$S$46*(L208+L210-L162-L164)+'Sch.29,36'!$S$47*(L209+L211-L163-L165)</f>
        <v>33802.56633894852</v>
      </c>
      <c r="M274" s="100">
        <f>'Sch.29,36'!$S$46*(M208+M210-M162-M164)+'Sch.29,36'!$S$47*(M209+M211-M163-M165)</f>
        <v>27173.516171919015</v>
      </c>
      <c r="N274" s="100">
        <f>'Sch.29,36'!$S$46*(N208+N210-N162-N164)+'Sch.29,36'!$S$47*(N209+N211-N163-N165)</f>
        <v>99241.075940864102</v>
      </c>
      <c r="O274" s="100">
        <f>'Sch.29,36'!$S$46*(O208+O210-O162-O164)+'Sch.29,36'!$S$47*(O209+O211-O163-O165)</f>
        <v>54256.398737008087</v>
      </c>
      <c r="P274" s="100">
        <f>'Sch.29,36'!$S$46*(P208+P210-P162-P164)+'Sch.29,36'!$S$47*(P209+P211-P163-P165)</f>
        <v>-122882.96200593955</v>
      </c>
      <c r="Q274" s="100">
        <f>'Sch.29,36'!$S$46*(Q208+Q210-Q162-Q164)+'Sch.29,36'!$S$47*(Q209+Q211-Q163-Q165)</f>
        <v>-29681.47434017287</v>
      </c>
      <c r="R274" s="100">
        <f>'Sch.29,36'!$S$46*(R208+R210-R162-R164)+'Sch.29,36'!$S$47*(R209+R211-R163-R165)</f>
        <v>33928.523402501596</v>
      </c>
      <c r="S274" s="100">
        <f>'Sch.29,36'!$S$46*(S208+S210-S162-S164)+'Sch.29,36'!$S$47*(S209+S211-S163-S165)</f>
        <v>-25814.20747082329</v>
      </c>
      <c r="T274" s="100">
        <f>'Sch.29,36'!$S$46*(T208+T210-T162-T164)+'Sch.29,36'!$S$47*(T209+T211-T163-T165)</f>
        <v>147085.60127125483</v>
      </c>
      <c r="U274" s="100">
        <f>'Sch.29,36'!$S$46*(U208+U210-U162-U164)+'Sch.29,36'!$S$47*(U209+U211-U163-U165)</f>
        <v>74176.132830575196</v>
      </c>
    </row>
    <row r="275" spans="2:21">
      <c r="B275" s="102" t="s">
        <v>355</v>
      </c>
      <c r="C275" s="102" t="s">
        <v>172</v>
      </c>
      <c r="D275" s="102" t="s">
        <v>5</v>
      </c>
      <c r="E275" s="102" t="s">
        <v>195</v>
      </c>
      <c r="F275" s="102" t="s">
        <v>195</v>
      </c>
      <c r="G275" s="102" t="s">
        <v>195</v>
      </c>
      <c r="H275" s="100" t="s">
        <v>6</v>
      </c>
      <c r="I275" s="100">
        <f t="shared" si="17"/>
        <v>-12376.945380394933</v>
      </c>
      <c r="J275" s="100">
        <f>Sch.48T!$T$41*(J218-J172)+Sch.48T!$T$42*(J219-J173)+Sch.48T!$T$49*(J220-J174)+Sch.48T!$T$50*(J221-J175)</f>
        <v>-61512.618992752614</v>
      </c>
      <c r="K275" s="100">
        <f>Sch.48T!$T$41*(K218-K172)+Sch.48T!$T$42*(K219-K173)+Sch.48T!$T$49*(K220-K174)+Sch.48T!$T$50*(K221-K175)</f>
        <v>-5442.5105057015589</v>
      </c>
      <c r="L275" s="100">
        <f>Sch.48T!$T$41*(L218-L172)+Sch.48T!$T$42*(L219-L173)+Sch.48T!$T$49*(L220-L174)+Sch.48T!$T$50*(L221-L175)</f>
        <v>6721.72766221247</v>
      </c>
      <c r="M275" s="100">
        <f>Sch.48T!$T$41*(M218-M172)+Sch.48T!$T$42*(M219-M173)+Sch.48T!$T$49*(M220-M174)+Sch.48T!$T$50*(M221-M175)</f>
        <v>5244.5099728112609</v>
      </c>
      <c r="N275" s="100">
        <f>Sch.48T!$T$41*(N218-N172)+Sch.48T!$T$42*(N219-N173)+Sch.48T!$T$49*(N220-N174)+Sch.48T!$T$50*(N221-N175)</f>
        <v>17438.665441979501</v>
      </c>
      <c r="O275" s="100">
        <f>Sch.48T!$T$41*(O218-O172)+Sch.48T!$T$42*(O219-O173)+Sch.48T!$T$49*(O220-O174)+Sch.48T!$T$50*(O221-O175)</f>
        <v>10794.649611280453</v>
      </c>
      <c r="P275" s="100">
        <f>Sch.48T!$T$41*(P218-P172)+Sch.48T!$T$42*(P219-P173)+Sch.48T!$T$49*(P220-P174)+Sch.48T!$T$50*(P221-P175)</f>
        <v>-20504.03457167447</v>
      </c>
      <c r="Q275" s="100">
        <f>Sch.48T!$T$41*(Q218-Q172)+Sch.48T!$T$42*(Q219-Q173)+Sch.48T!$T$49*(Q220-Q174)+Sch.48T!$T$50*(Q221-Q175)</f>
        <v>-4986.2689160535756</v>
      </c>
      <c r="R275" s="100">
        <f>Sch.48T!$T$41*(R218-R172)+Sch.48T!$T$42*(R219-R173)+Sch.48T!$T$49*(R220-R174)+Sch.48T!$T$50*(R221-R175)</f>
        <v>5783.6700377187062</v>
      </c>
      <c r="S275" s="100">
        <f>Sch.48T!$T$41*(S218-S172)+Sch.48T!$T$42*(S219-S173)+Sch.48T!$T$49*(S220-S174)+Sch.48T!$T$50*(S221-S175)</f>
        <v>-4657.5629444102424</v>
      </c>
      <c r="T275" s="100">
        <f>Sch.48T!$T$41*(T218-T172)+Sch.48T!$T$42*(T219-T173)+Sch.48T!$T$49*(T220-T174)+Sch.48T!$T$50*(T221-T175)</f>
        <v>25741.117795418948</v>
      </c>
      <c r="U275" s="100">
        <f>Sch.48T!$T$41*(U218-U172)+Sch.48T!$T$42*(U219-U173)+Sch.48T!$T$49*(U220-U174)+Sch.48T!$T$50*(U221-U175)</f>
        <v>13001.71002877619</v>
      </c>
    </row>
    <row r="276" spans="2:21">
      <c r="B276" s="150" t="s">
        <v>355</v>
      </c>
      <c r="C276" s="150" t="s">
        <v>152</v>
      </c>
      <c r="D276" s="150" t="s">
        <v>179</v>
      </c>
      <c r="E276" s="150" t="s">
        <v>195</v>
      </c>
      <c r="F276" s="150" t="s">
        <v>195</v>
      </c>
      <c r="G276" s="150" t="s">
        <v>195</v>
      </c>
      <c r="H276" s="152" t="s">
        <v>6</v>
      </c>
      <c r="I276" s="152">
        <f t="shared" si="17"/>
        <v>-70255.676491425198</v>
      </c>
      <c r="J276" s="152">
        <f>Sch.40!$S$28*(J215-J169)</f>
        <v>-307586.62128294609</v>
      </c>
      <c r="K276" s="152">
        <f>Sch.40!$S$28*(K215-K169)</f>
        <v>-33022.477091023095</v>
      </c>
      <c r="L276" s="152">
        <f>Sch.40!$S$28*(L215-L169)</f>
        <v>30665.234665536031</v>
      </c>
      <c r="M276" s="152">
        <f>Sch.40!$S$28*(M215-M169)</f>
        <v>1066.1622271609433</v>
      </c>
      <c r="N276" s="152">
        <f>Sch.40!$S$28*(N215-N169)</f>
        <v>0</v>
      </c>
      <c r="O276" s="152">
        <f>Sch.40!$S$28*(O215-O169)</f>
        <v>0</v>
      </c>
      <c r="P276" s="152">
        <f>Sch.40!$S$28*(P215-P169)</f>
        <v>0</v>
      </c>
      <c r="Q276" s="152">
        <f>Sch.40!$S$28*(Q215-Q169)</f>
        <v>0</v>
      </c>
      <c r="R276" s="152">
        <f>Sch.40!$S$28*(R215-R169)</f>
        <v>0</v>
      </c>
      <c r="S276" s="152">
        <f>Sch.40!$S$28*(S215-S169)</f>
        <v>0</v>
      </c>
      <c r="T276" s="152">
        <f>Sch.40!$S$28*(T215-T169)</f>
        <v>158458.53035013602</v>
      </c>
      <c r="U276" s="152">
        <f>Sch.40!$S$28*(U215-U169)</f>
        <v>80163.494639711018</v>
      </c>
    </row>
    <row r="277" spans="2:21">
      <c r="C277" s="143"/>
      <c r="D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</row>
  </sheetData>
  <phoneticPr fontId="24" type="noConversion"/>
  <printOptions horizontalCentered="1"/>
  <pageMargins left="0.22" right="0.5" top="0.5" bottom="0.55000000000000004" header="0.5" footer="0.38"/>
  <pageSetup scale="13" orientation="landscape" r:id="rId1"/>
  <headerFooter alignWithMargins="0"/>
  <ignoredErrors>
    <ignoredError sqref="V269:X26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9815-F541-401D-BCE0-0BE01307EE51}">
  <sheetPr>
    <pageSetUpPr autoPageBreaks="0" fitToPage="1"/>
  </sheetPr>
  <dimension ref="A2:H22"/>
  <sheetViews>
    <sheetView showGridLines="0" zoomScale="70" zoomScaleNormal="70" zoomScaleSheetLayoutView="70" workbookViewId="0"/>
  </sheetViews>
  <sheetFormatPr defaultRowHeight="15.75"/>
  <cols>
    <col min="1" max="1" width="0.875" style="163" customWidth="1"/>
    <col min="2" max="2" width="15.125" style="157" bestFit="1" customWidth="1"/>
    <col min="3" max="3" width="7.125" style="157" bestFit="1" customWidth="1"/>
    <col min="4" max="4" width="12.625" style="157" bestFit="1" customWidth="1"/>
    <col min="5" max="5" width="20.25" style="157" bestFit="1" customWidth="1"/>
    <col min="6" max="6" width="10.25" style="158" customWidth="1"/>
    <col min="7" max="23" width="10.25" style="1" customWidth="1"/>
    <col min="24" max="16384" width="9" style="1"/>
  </cols>
  <sheetData>
    <row r="2" spans="1:8" s="159" customFormat="1">
      <c r="A2" s="160"/>
      <c r="B2" s="250" t="s">
        <v>408</v>
      </c>
      <c r="C2" s="251"/>
      <c r="D2" s="252"/>
      <c r="E2" s="253"/>
      <c r="F2" s="254"/>
    </row>
    <row r="3" spans="1:8" s="159" customFormat="1">
      <c r="A3" s="160"/>
      <c r="B3" s="256" t="s">
        <v>407</v>
      </c>
      <c r="C3" s="257"/>
      <c r="D3" s="258"/>
      <c r="E3" s="259"/>
      <c r="F3" s="260"/>
    </row>
    <row r="4" spans="1:8" s="159" customFormat="1">
      <c r="A4" s="161"/>
      <c r="B4" s="233"/>
      <c r="C4" s="233"/>
      <c r="D4" s="233" t="s">
        <v>153</v>
      </c>
      <c r="E4" s="234" t="s">
        <v>401</v>
      </c>
      <c r="F4" s="235" t="s">
        <v>206</v>
      </c>
    </row>
    <row r="5" spans="1:8" s="159" customFormat="1">
      <c r="A5" s="160"/>
      <c r="B5" s="237" t="s">
        <v>217</v>
      </c>
      <c r="C5" s="102" t="s">
        <v>402</v>
      </c>
      <c r="D5" s="100" t="s">
        <v>4</v>
      </c>
      <c r="E5" s="100" t="s">
        <v>349</v>
      </c>
      <c r="F5" s="100">
        <f>SUMIFS('Normalized Units'!I:I,'Normalized Units'!B:B,"Normalized Billing Units",'Normalized Units'!D:D,D5,'Normalized Units'!H:H,E5)</f>
        <v>256071</v>
      </c>
    </row>
    <row r="6" spans="1:8" s="159" customFormat="1">
      <c r="A6" s="160"/>
      <c r="B6" s="237" t="s">
        <v>217</v>
      </c>
      <c r="C6" s="102" t="s">
        <v>402</v>
      </c>
      <c r="D6" s="100" t="s">
        <v>4</v>
      </c>
      <c r="E6" s="100" t="s">
        <v>350</v>
      </c>
      <c r="F6" s="100">
        <f>SUMIFS('Normalized Units'!I:I,'Normalized Units'!B:B,"Normalized Billing Units",'Normalized Units'!D:D,D6,'Normalized Units'!H:H,E6)</f>
        <v>463553</v>
      </c>
    </row>
    <row r="7" spans="1:8" s="159" customFormat="1">
      <c r="A7" s="160"/>
      <c r="B7" s="237" t="s">
        <v>217</v>
      </c>
      <c r="C7" s="102" t="s">
        <v>402</v>
      </c>
      <c r="D7" s="100" t="s">
        <v>5</v>
      </c>
      <c r="E7" s="100" t="s">
        <v>349</v>
      </c>
      <c r="F7" s="100">
        <f>SUMIFS('Normalized Units'!I:I,'Normalized Units'!B:B,"Normalized Billing Units",'Normalized Units'!D:D,D7,'Normalized Units'!H:H,E7)</f>
        <v>31087</v>
      </c>
    </row>
    <row r="8" spans="1:8" s="159" customFormat="1">
      <c r="A8" s="160"/>
      <c r="B8" s="237" t="s">
        <v>217</v>
      </c>
      <c r="C8" s="102" t="s">
        <v>402</v>
      </c>
      <c r="D8" s="100" t="s">
        <v>5</v>
      </c>
      <c r="E8" s="100" t="s">
        <v>350</v>
      </c>
      <c r="F8" s="100">
        <f>SUMIFS('Normalized Units'!I:I,'Normalized Units'!B:B,"Normalized Billing Units",'Normalized Units'!D:D,D8,'Normalized Units'!H:H,E8)</f>
        <v>57524</v>
      </c>
    </row>
    <row r="9" spans="1:8" s="159" customFormat="1">
      <c r="A9" s="160"/>
      <c r="B9" s="237" t="s">
        <v>217</v>
      </c>
      <c r="C9" s="102" t="s">
        <v>402</v>
      </c>
      <c r="D9" s="100" t="s">
        <v>7</v>
      </c>
      <c r="E9" s="100" t="s">
        <v>349</v>
      </c>
      <c r="F9" s="100">
        <f>SUMIFS('Normalized Units'!I:I,'Normalized Units'!B:B,"Normalized Billing Units",'Normalized Units'!D:D,D9,'Normalized Units'!H:H,E9)</f>
        <v>426</v>
      </c>
    </row>
    <row r="10" spans="1:8" s="159" customFormat="1">
      <c r="A10" s="160"/>
      <c r="B10" s="237" t="s">
        <v>217</v>
      </c>
      <c r="C10" s="102" t="s">
        <v>402</v>
      </c>
      <c r="D10" s="100" t="s">
        <v>7</v>
      </c>
      <c r="E10" s="100" t="s">
        <v>350</v>
      </c>
      <c r="F10" s="100">
        <f>SUMIFS('Normalized Units'!I:I,'Normalized Units'!B:B,"Normalized Billing Units",'Normalized Units'!D:D,D10,'Normalized Units'!H:H,E10)</f>
        <v>1496</v>
      </c>
    </row>
    <row r="11" spans="1:8" s="159" customFormat="1">
      <c r="A11" s="160"/>
      <c r="B11" s="237" t="s">
        <v>217</v>
      </c>
      <c r="C11" s="102" t="s">
        <v>402</v>
      </c>
      <c r="D11" s="100" t="s">
        <v>179</v>
      </c>
      <c r="E11" s="100" t="s">
        <v>349</v>
      </c>
      <c r="F11" s="100">
        <f>SUMIFS('Normalized Units'!I:I,'Normalized Units'!B:B,"Normalized Billing Units",'Normalized Units'!D:D,D11,'Normalized Units'!H:H,E11)</f>
        <v>7254</v>
      </c>
    </row>
    <row r="12" spans="1:8" s="159" customFormat="1">
      <c r="A12" s="160"/>
      <c r="B12" s="237" t="s">
        <v>217</v>
      </c>
      <c r="C12" s="102" t="s">
        <v>402</v>
      </c>
      <c r="D12" s="100" t="s">
        <v>179</v>
      </c>
      <c r="E12" s="100" t="s">
        <v>350</v>
      </c>
      <c r="F12" s="100">
        <f>SUMIFS('Normalized Units'!I:I,'Normalized Units'!B:B,"Normalized Billing Units",'Normalized Units'!D:D,D12,'Normalized Units'!H:H,E12)</f>
        <v>12769</v>
      </c>
    </row>
    <row r="13" spans="1:8" s="159" customFormat="1">
      <c r="A13" s="160"/>
      <c r="B13" s="145" t="s">
        <v>406</v>
      </c>
      <c r="C13" s="245" t="s">
        <v>403</v>
      </c>
      <c r="D13" s="144" t="s">
        <v>195</v>
      </c>
      <c r="E13" s="145" t="s">
        <v>349</v>
      </c>
      <c r="F13" s="221">
        <v>-1</v>
      </c>
    </row>
    <row r="14" spans="1:8">
      <c r="B14" s="150" t="s">
        <v>406</v>
      </c>
      <c r="C14" s="249" t="s">
        <v>403</v>
      </c>
      <c r="D14" s="152" t="s">
        <v>195</v>
      </c>
      <c r="E14" s="150" t="s">
        <v>350</v>
      </c>
      <c r="F14" s="222">
        <v>-0.5</v>
      </c>
    </row>
    <row r="15" spans="1:8" s="140" customFormat="1">
      <c r="A15" s="163"/>
      <c r="B15" s="145" t="s">
        <v>406</v>
      </c>
      <c r="C15" s="246" t="s">
        <v>29</v>
      </c>
      <c r="D15" s="144" t="s">
        <v>4</v>
      </c>
      <c r="E15" s="145" t="s">
        <v>369</v>
      </c>
      <c r="F15" s="220">
        <f>SUMIFS(F$5:F$12,D$5:D$12,D15,E$5:E$12,"AutoPay Bill")*F13</f>
        <v>-256071</v>
      </c>
      <c r="G15" s="1"/>
      <c r="H15" s="1"/>
    </row>
    <row r="16" spans="1:8" s="140" customFormat="1">
      <c r="A16" s="163"/>
      <c r="B16" s="102" t="s">
        <v>406</v>
      </c>
      <c r="C16" s="247" t="s">
        <v>29</v>
      </c>
      <c r="D16" s="100" t="s">
        <v>4</v>
      </c>
      <c r="E16" s="102" t="s">
        <v>370</v>
      </c>
      <c r="F16" s="217">
        <f>SUMIFS(F$5:F$12,D$5:D$12,D16,E$5:E$12,"Paperless Bill")*F14</f>
        <v>-231776.5</v>
      </c>
      <c r="G16" s="1"/>
      <c r="H16" s="1"/>
    </row>
    <row r="17" spans="1:8" s="140" customFormat="1">
      <c r="A17" s="163"/>
      <c r="B17" s="102" t="s">
        <v>406</v>
      </c>
      <c r="C17" s="247" t="s">
        <v>29</v>
      </c>
      <c r="D17" s="100" t="s">
        <v>5</v>
      </c>
      <c r="E17" s="102" t="s">
        <v>369</v>
      </c>
      <c r="F17" s="217">
        <f>SUMIFS(F$5:F$12,D$5:D$12,D17,E$5:E$12,"AutoPay Bill")*F13</f>
        <v>-31087</v>
      </c>
      <c r="G17" s="1"/>
      <c r="H17" s="1"/>
    </row>
    <row r="18" spans="1:8" s="140" customFormat="1">
      <c r="A18" s="163"/>
      <c r="B18" s="102" t="s">
        <v>406</v>
      </c>
      <c r="C18" s="247" t="s">
        <v>29</v>
      </c>
      <c r="D18" s="100" t="s">
        <v>5</v>
      </c>
      <c r="E18" s="102" t="s">
        <v>370</v>
      </c>
      <c r="F18" s="217">
        <f>SUMIFS(F$5:F$12,D$5:D$12,D18,E$5:E$12,"Paperless Bill")*F14</f>
        <v>-28762</v>
      </c>
      <c r="G18" s="1"/>
      <c r="H18" s="1"/>
    </row>
    <row r="19" spans="1:8" s="140" customFormat="1">
      <c r="A19" s="163"/>
      <c r="B19" s="102" t="s">
        <v>406</v>
      </c>
      <c r="C19" s="247" t="s">
        <v>29</v>
      </c>
      <c r="D19" s="100" t="s">
        <v>7</v>
      </c>
      <c r="E19" s="102" t="s">
        <v>369</v>
      </c>
      <c r="F19" s="217">
        <f>SUMIFS(F$5:F$12,D$5:D$12,D19,E$5:E$12,"AutoPay Bill")*F13</f>
        <v>-426</v>
      </c>
      <c r="G19" s="1"/>
      <c r="H19" s="1"/>
    </row>
    <row r="20" spans="1:8" s="140" customFormat="1">
      <c r="A20" s="163"/>
      <c r="B20" s="102" t="s">
        <v>406</v>
      </c>
      <c r="C20" s="247" t="s">
        <v>29</v>
      </c>
      <c r="D20" s="100" t="s">
        <v>7</v>
      </c>
      <c r="E20" s="102" t="s">
        <v>370</v>
      </c>
      <c r="F20" s="217">
        <f>SUMIFS(F$5:F$12,D$5:D$12,D20,E$5:E$12,"Paperless Bill")*F14</f>
        <v>-748</v>
      </c>
      <c r="G20" s="1"/>
      <c r="H20" s="1"/>
    </row>
    <row r="21" spans="1:8" s="140" customFormat="1">
      <c r="A21" s="163"/>
      <c r="B21" s="102" t="s">
        <v>406</v>
      </c>
      <c r="C21" s="247" t="s">
        <v>29</v>
      </c>
      <c r="D21" s="100" t="s">
        <v>179</v>
      </c>
      <c r="E21" s="102" t="s">
        <v>369</v>
      </c>
      <c r="F21" s="217">
        <f>SUMIFS(F$5:F$12,D$5:D$12,D21,E$5:E$12,"AutoPay Bill")*F13</f>
        <v>-7254</v>
      </c>
      <c r="G21" s="1"/>
      <c r="H21" s="1"/>
    </row>
    <row r="22" spans="1:8" s="140" customFormat="1">
      <c r="A22" s="163"/>
      <c r="B22" s="150" t="s">
        <v>406</v>
      </c>
      <c r="C22" s="248" t="s">
        <v>29</v>
      </c>
      <c r="D22" s="152" t="s">
        <v>179</v>
      </c>
      <c r="E22" s="150" t="s">
        <v>370</v>
      </c>
      <c r="F22" s="218">
        <f>SUMIFS(F$5:F$12,D$5:D$12,D22,E$5:E$12,"Paperless Bill")*F14</f>
        <v>-6384.5</v>
      </c>
      <c r="G22" s="1"/>
      <c r="H22" s="1"/>
    </row>
  </sheetData>
  <phoneticPr fontId="24" type="noConversion"/>
  <printOptions horizontalCentered="1"/>
  <pageMargins left="0.22" right="0.5" top="0.25" bottom="0.25" header="0" footer="0"/>
  <pageSetup scale="81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C566-0641-4C2A-A2DC-0199A0ED7DDD}">
  <sheetPr>
    <pageSetUpPr autoPageBreaks="0" fitToPage="1"/>
  </sheetPr>
  <dimension ref="A2:F22"/>
  <sheetViews>
    <sheetView showGridLines="0" zoomScale="70" zoomScaleNormal="70" zoomScaleSheetLayoutView="70" workbookViewId="0"/>
  </sheetViews>
  <sheetFormatPr defaultRowHeight="15.75"/>
  <cols>
    <col min="1" max="1" width="0.875" style="163" customWidth="1"/>
    <col min="2" max="2" width="20.875" style="157" bestFit="1" customWidth="1"/>
    <col min="3" max="3" width="12.5" style="157" bestFit="1" customWidth="1"/>
    <col min="4" max="4" width="13.375" style="140" bestFit="1" customWidth="1"/>
    <col min="5" max="5" width="12.875" style="158" customWidth="1"/>
    <col min="6" max="6" width="12.875" style="241" customWidth="1"/>
    <col min="7" max="16" width="12.875" style="1" customWidth="1"/>
    <col min="17" max="16384" width="9" style="1"/>
  </cols>
  <sheetData>
    <row r="2" spans="1:6">
      <c r="B2" s="219"/>
      <c r="C2" s="219"/>
      <c r="D2" s="244" t="s">
        <v>405</v>
      </c>
      <c r="E2" s="223"/>
    </row>
    <row r="3" spans="1:6" s="159" customFormat="1" ht="18.75">
      <c r="A3" s="161"/>
      <c r="B3" s="216" t="s">
        <v>209</v>
      </c>
      <c r="C3" s="216" t="s">
        <v>153</v>
      </c>
      <c r="D3" s="240" t="s">
        <v>404</v>
      </c>
      <c r="E3" s="239" t="s">
        <v>168</v>
      </c>
      <c r="F3" s="242"/>
    </row>
    <row r="4" spans="1:6" s="140" customFormat="1">
      <c r="A4" s="163"/>
      <c r="B4" s="145" t="s">
        <v>422</v>
      </c>
      <c r="C4" s="144" t="s">
        <v>4</v>
      </c>
      <c r="D4" s="353">
        <f>SUMIFS('Sch.16,17,19'!Q:Q,'Sch.16,17,19'!L:L,"Present",'Sch.16,17,19'!M:M,"$",'Sch.16,17,19'!P:P,"&lt;&gt;Unbilled")</f>
        <v>170410808.55357695</v>
      </c>
      <c r="E4" s="220">
        <f>SUMIFS(RVN!F:F,RVN!A:A,C4,RVN!J:J,E$3)*D4/SUMIFS(D:D,C:C,C4)</f>
        <v>5660946.3060093932</v>
      </c>
      <c r="F4" s="243"/>
    </row>
    <row r="5" spans="1:6" s="140" customFormat="1">
      <c r="A5" s="163"/>
      <c r="B5" s="100" t="s">
        <v>229</v>
      </c>
      <c r="C5" s="100" t="s">
        <v>4</v>
      </c>
      <c r="D5" s="143">
        <f>SUMIFS(Sch.24!S:S,Sch.24!N:N,"Present",Sch.24!O:O,"$",Sch.24!P:P,C5,Sch.24!R:R,"&lt;&gt;Unbilled")</f>
        <v>2792013.2761188997</v>
      </c>
      <c r="E5" s="217">
        <f>SUMIFS(RVN!F:F,RVN!A:A,C5,RVN!J:J,E$3)*D5/SUMIFS(D:D,C:C,C5)</f>
        <v>92749.030275302401</v>
      </c>
      <c r="F5" s="243"/>
    </row>
    <row r="6" spans="1:6" s="140" customFormat="1">
      <c r="A6" s="163"/>
      <c r="B6" s="100" t="s">
        <v>229</v>
      </c>
      <c r="C6" s="100" t="s">
        <v>5</v>
      </c>
      <c r="D6" s="143">
        <f>SUMIFS(Sch.24!S:S,Sch.24!N:N,"Present",Sch.24!O:O,"$",Sch.24!P:P,C6,Sch.24!R:R,"&lt;&gt;Unbilled")</f>
        <v>52733825.207612373</v>
      </c>
      <c r="E6" s="217">
        <f>SUMIFS(RVN!F:F,RVN!A:A,C6,RVN!J:J,E$3)*D6/SUMIFS(D:D,C:C,C6)</f>
        <v>753527.61020262272</v>
      </c>
      <c r="F6" s="243"/>
    </row>
    <row r="7" spans="1:6" s="140" customFormat="1">
      <c r="A7" s="163"/>
      <c r="B7" s="100" t="s">
        <v>229</v>
      </c>
      <c r="C7" s="100" t="s">
        <v>7</v>
      </c>
      <c r="D7" s="143">
        <f>SUMIFS(Sch.24!S:S,Sch.24!N:N,"Present",Sch.24!O:O,"$",Sch.24!P:P,C7,Sch.24!R:R,"&lt;&gt;Unbilled")</f>
        <v>1601245.6618095369</v>
      </c>
      <c r="E7" s="217">
        <f>SUMIFS(RVN!F:F,RVN!A:A,C7,RVN!J:J,E$3)*D7/SUMIFS(D:D,C:C,C7)</f>
        <v>30849.452456491777</v>
      </c>
      <c r="F7" s="243"/>
    </row>
    <row r="8" spans="1:6" s="140" customFormat="1">
      <c r="A8" s="163"/>
      <c r="B8" s="100" t="s">
        <v>279</v>
      </c>
      <c r="C8" s="100" t="s">
        <v>4</v>
      </c>
      <c r="D8" s="143">
        <f>SUMIFS('Sch.29,36'!S:S,'Sch.29,36'!M:M,"Present",'Sch.29,36'!N:N,"$",'Sch.29,36'!P:P,C8,'Sch.29,36'!R:R,"&lt;&gt;Unbilled")</f>
        <v>205643.0120104271</v>
      </c>
      <c r="E8" s="217">
        <f>SUMIFS(RVN!F:F,RVN!A:A,C8,RVN!J:J,E$3)*D8/SUMIFS(D:D,C:C,C8)</f>
        <v>6831.3392740641229</v>
      </c>
      <c r="F8" s="243"/>
    </row>
    <row r="9" spans="1:6" s="140" customFormat="1">
      <c r="A9" s="163"/>
      <c r="B9" s="100" t="s">
        <v>279</v>
      </c>
      <c r="C9" s="100" t="s">
        <v>5</v>
      </c>
      <c r="D9" s="143">
        <f>SUMIFS('Sch.29,36'!S:S,'Sch.29,36'!M:M,"Present",'Sch.29,36'!N:N,"$",'Sch.29,36'!P:P,C9,'Sch.29,36'!R:R,"&lt;&gt;Unbilled")</f>
        <v>75080815.054461271</v>
      </c>
      <c r="E9" s="217">
        <f>SUMIFS(RVN!F:F,RVN!A:A,C9,RVN!J:J,E$3)*D9/SUMIFS(D:D,C:C,C9)</f>
        <v>1072849.6731901476</v>
      </c>
      <c r="F9" s="243"/>
    </row>
    <row r="10" spans="1:6" s="140" customFormat="1">
      <c r="A10" s="163"/>
      <c r="B10" s="100" t="s">
        <v>279</v>
      </c>
      <c r="C10" s="100" t="s">
        <v>7</v>
      </c>
      <c r="D10" s="143">
        <f>SUMIFS('Sch.29,36'!S:S,'Sch.29,36'!M:M,"Present",'Sch.29,36'!N:N,"$",'Sch.29,36'!P:P,C10,'Sch.29,36'!R:R,"&lt;&gt;Unbilled")</f>
        <v>8232503.2195549803</v>
      </c>
      <c r="E10" s="217">
        <f>SUMIFS(RVN!F:F,RVN!A:A,C10,RVN!J:J,E$3)*D10/SUMIFS(D:D,C:C,C10)</f>
        <v>158606.6540112104</v>
      </c>
      <c r="F10" s="243"/>
    </row>
    <row r="11" spans="1:6" s="140" customFormat="1">
      <c r="A11" s="163"/>
      <c r="B11" s="100" t="s">
        <v>152</v>
      </c>
      <c r="C11" s="100" t="s">
        <v>179</v>
      </c>
      <c r="D11" s="143">
        <f>SUMIFS(Sch.40!S:S,Sch.40!N:N,"Present",Sch.40!O:O,"$",Sch.40!R:R,"&lt;&gt;Unbilled")</f>
        <v>16204016.400296861</v>
      </c>
      <c r="E11" s="217">
        <f>SUMIFS(RVN!F:F,RVN!A:A,C11,RVN!J:J,E$3)*D11/SUMIFS(D:D,C:C,C11)</f>
        <v>-1729000</v>
      </c>
      <c r="F11" s="243"/>
    </row>
    <row r="12" spans="1:6" s="140" customFormat="1">
      <c r="A12" s="163"/>
      <c r="B12" s="100" t="s">
        <v>252</v>
      </c>
      <c r="C12" s="100" t="s">
        <v>7</v>
      </c>
      <c r="D12" s="143">
        <f>SUMIFS(Sch.47T!F:F,Sch.47T!A:A,"Present",Sch.47T!B:B,"$",Sch.47T!E:E,"&lt;&gt;Unbilled")</f>
        <v>325567.73000000004</v>
      </c>
      <c r="E12" s="217">
        <f>SUMIFS(RVN!F:F,RVN!A:A,C12,RVN!J:J,E$3)*D12/SUMIFS(D:D,C:C,C12)</f>
        <v>6272.3581069083993</v>
      </c>
      <c r="F12" s="243"/>
    </row>
    <row r="13" spans="1:6" s="140" customFormat="1">
      <c r="A13" s="163"/>
      <c r="B13" s="100" t="s">
        <v>172</v>
      </c>
      <c r="C13" s="100" t="s">
        <v>5</v>
      </c>
      <c r="D13" s="143">
        <f>SUMIFS(Sch.48T!T:T,Sch.48T!N:N,"Present",Sch.48T!O:O,"$",Sch.48T!P:P,C13,Sch.48T!S:S,"&lt;&gt;Unbilled")</f>
        <v>14823936.759617891</v>
      </c>
      <c r="E13" s="217">
        <f>SUMIFS(RVN!F:F,RVN!A:A,C13,RVN!J:J,E$3)*D13/SUMIFS(D:D,C:C,C13)</f>
        <v>211823.16276683079</v>
      </c>
      <c r="F13" s="243"/>
    </row>
    <row r="14" spans="1:6" s="140" customFormat="1">
      <c r="A14" s="163"/>
      <c r="B14" s="100" t="s">
        <v>172</v>
      </c>
      <c r="C14" s="100" t="s">
        <v>7</v>
      </c>
      <c r="D14" s="143">
        <f>SUMIFS(Sch.48T!T:T,Sch.48T!N:N,"Present",Sch.48T!O:O,"$",Sch.48T!P:P,Unbilled!C14,Sch.48T!S:S,"&lt;&gt;Unbilled")</f>
        <v>16408709.76974733</v>
      </c>
      <c r="E14" s="217">
        <f>SUMIFS(RVN!F:F,RVN!A:A,C14,RVN!J:J,E$3)*D14/SUMIFS(D:D,C:C,C14)</f>
        <v>316128.70153986604</v>
      </c>
      <c r="F14" s="243"/>
    </row>
    <row r="15" spans="1:6" s="140" customFormat="1">
      <c r="A15" s="163"/>
      <c r="B15" s="100" t="s">
        <v>287</v>
      </c>
      <c r="C15" s="100" t="s">
        <v>7</v>
      </c>
      <c r="D15" s="143">
        <f>SUMIFS('Sch.48T-DF'!O:O,'Sch.48T-DF'!L:L,"Present",'Sch.48T-DF'!M:M,"$",'Sch.48T-DF'!N:N,"&lt;&gt;Unbilled")</f>
        <v>37940350.01194267</v>
      </c>
      <c r="E15" s="217">
        <f>SUMIFS(RVN!F:F,RVN!A:A,C15,RVN!J:J,E$3)*D15/SUMIFS(D:D,C:C,C15)</f>
        <v>730955.31297389569</v>
      </c>
      <c r="F15" s="243"/>
    </row>
    <row r="16" spans="1:6" s="140" customFormat="1">
      <c r="A16" s="163"/>
      <c r="B16" s="100" t="s">
        <v>169</v>
      </c>
      <c r="C16" s="100" t="s">
        <v>4</v>
      </c>
      <c r="D16" s="143">
        <f>SUMIFS('Sch.15,51,53,54'!G:G,'Sch.15,51,53,54'!A:A,"Present",'Sch.15,51,53,54'!B:B,"$",'Sch.15,51,53,54'!C:C,B16,'Sch.15,51,53,54'!D:D,C16,'Sch.15,51,53,54'!F:F,"&lt;&gt;Unbilled")</f>
        <v>104557.08187380461</v>
      </c>
      <c r="E16" s="217">
        <f>SUMIFS(RVN!F:F,RVN!A:A,C16,RVN!J:J,E$3)*D16/SUMIFS(D:D,C:C,C16)</f>
        <v>3473.3244412401559</v>
      </c>
      <c r="F16" s="243"/>
    </row>
    <row r="17" spans="1:6" s="140" customFormat="1">
      <c r="A17" s="163"/>
      <c r="B17" s="100" t="s">
        <v>169</v>
      </c>
      <c r="C17" s="100" t="s">
        <v>5</v>
      </c>
      <c r="D17" s="143">
        <f>SUMIFS('Sch.15,51,53,54'!G:G,'Sch.15,51,53,54'!A:A,"Present",'Sch.15,51,53,54'!B:B,"$",'Sch.15,51,53,54'!C:C,B17,'Sch.15,51,53,54'!D:D,C17,'Sch.15,51,53,54'!F:F,"&lt;&gt;Unbilled")</f>
        <v>174948.2895253078</v>
      </c>
      <c r="E17" s="217">
        <f>SUMIFS(RVN!F:F,RVN!A:A,C17,RVN!J:J,E$3)*D17/SUMIFS(D:D,C:C,C17)</f>
        <v>2499.8824946992781</v>
      </c>
      <c r="F17" s="243"/>
    </row>
    <row r="18" spans="1:6" s="140" customFormat="1">
      <c r="A18" s="163"/>
      <c r="B18" s="100" t="s">
        <v>169</v>
      </c>
      <c r="C18" s="100" t="s">
        <v>7</v>
      </c>
      <c r="D18" s="143">
        <f>SUMIFS('Sch.15,51,53,54'!G:G,'Sch.15,51,53,54'!A:A,"Present",'Sch.15,51,53,54'!B:B,"$",'Sch.15,51,53,54'!C:C,B18,'Sch.15,51,53,54'!D:D,C18,'Sch.15,51,53,54'!F:F,"&lt;&gt;Unbilled")</f>
        <v>9733.3022900785272</v>
      </c>
      <c r="E18" s="217">
        <f>SUMIFS(RVN!F:F,RVN!A:A,C18,RVN!J:J,E$3)*D18/SUMIFS(D:D,C:C,C18)</f>
        <v>187.52091162770995</v>
      </c>
      <c r="F18" s="243"/>
    </row>
    <row r="19" spans="1:6" s="140" customFormat="1">
      <c r="A19" s="163"/>
      <c r="B19" s="100" t="s">
        <v>170</v>
      </c>
      <c r="C19" s="100" t="s">
        <v>167</v>
      </c>
      <c r="D19" s="143">
        <f>SUMIFS('Sch.15,51,53,54'!G:G,'Sch.15,51,53,54'!A:A,"Present",'Sch.15,51,53,54'!B:B,"$",'Sch.15,51,53,54'!C:C,B19,'Sch.15,51,53,54'!D:D,C19,'Sch.15,51,53,54'!F:F,"&lt;&gt;Unbilled")</f>
        <v>497552.273052754</v>
      </c>
      <c r="E19" s="217">
        <f>SUMIFS(RVN!F:F,RVN!A:A,C19,RVN!J:J,E$3)*D19/SUMIFS(D:D,C:C,C19)</f>
        <v>-33281.311721933365</v>
      </c>
      <c r="F19" s="243"/>
    </row>
    <row r="20" spans="1:6" s="140" customFormat="1">
      <c r="A20" s="163"/>
      <c r="B20" s="100" t="s">
        <v>227</v>
      </c>
      <c r="C20" s="100" t="s">
        <v>167</v>
      </c>
      <c r="D20" s="143">
        <f>SUMIFS('Sch.15,51,53,54'!G:G,'Sch.15,51,53,54'!A:A,"Present",'Sch.15,51,53,54'!B:B,"$",'Sch.15,51,53,54'!C:C,B20,'Sch.15,51,53,54'!D:D,C20,'Sch.15,51,53,54'!F:F,"&lt;&gt;Unbilled")</f>
        <v>115393.61578728679</v>
      </c>
      <c r="E20" s="217">
        <f>SUMIFS(RVN!F:F,RVN!A:A,C20,RVN!J:J,E$3)*D20/SUMIFS(D:D,C:C,C20)</f>
        <v>-7718.6882780666365</v>
      </c>
      <c r="F20" s="243"/>
    </row>
    <row r="21" spans="1:6" s="140" customFormat="1">
      <c r="A21" s="163"/>
      <c r="B21" s="152" t="s">
        <v>171</v>
      </c>
      <c r="C21" s="152" t="s">
        <v>5</v>
      </c>
      <c r="D21" s="354">
        <f>SUMIFS('Sch.15,51,53,54'!G:G,'Sch.15,51,53,54'!A:A,"Present",'Sch.15,51,53,54'!B:B,"$",'Sch.15,51,53,54'!C:C,B21,'Sch.15,51,53,54'!D:D,C21,'Sch.15,51,53,54'!F:F,"&lt;&gt;Unbilled")</f>
        <v>20971.781458159327</v>
      </c>
      <c r="E21" s="218">
        <f>SUMIFS(RVN!F:F,RVN!A:A,C21,RVN!J:J,E$3)*D21/SUMIFS(D:D,C:C,C21)</f>
        <v>299.67134569970966</v>
      </c>
      <c r="F21" s="243"/>
    </row>
    <row r="22" spans="1:6" ht="18.75">
      <c r="A22" s="238" t="s">
        <v>409</v>
      </c>
      <c r="B22" s="1"/>
    </row>
  </sheetData>
  <printOptions horizontalCentered="1"/>
  <pageMargins left="0.22" right="0.5" top="0.25" bottom="0.25" header="0" footer="0"/>
  <pageSetup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29F0-5F27-4003-9EE4-DB72E3669F19}">
  <sheetPr>
    <pageSetUpPr autoPageBreaks="0" fitToPage="1"/>
  </sheetPr>
  <dimension ref="A2:W118"/>
  <sheetViews>
    <sheetView showGridLines="0" zoomScale="70" zoomScaleNormal="70" zoomScaleSheetLayoutView="70" workbookViewId="0">
      <pane ySplit="7" topLeftCell="A8" activePane="bottomLeft" state="frozen"/>
      <selection pane="bottomLeft" activeCell="A8" sqref="A8"/>
    </sheetView>
  </sheetViews>
  <sheetFormatPr defaultColWidth="8" defaultRowHeight="15.75"/>
  <cols>
    <col min="1" max="1" width="0.875" style="48" customWidth="1"/>
    <col min="2" max="2" width="12.625" style="48" bestFit="1" customWidth="1"/>
    <col min="3" max="3" width="28" style="48" bestFit="1" customWidth="1"/>
    <col min="4" max="18" width="15.125" style="48" customWidth="1"/>
    <col min="19" max="19" width="0.875" style="48" customWidth="1"/>
    <col min="20" max="21" width="15.125" style="48" customWidth="1"/>
    <col min="22" max="22" width="0.875" style="48" customWidth="1"/>
    <col min="23" max="29" width="15.125" style="48" customWidth="1"/>
    <col min="30" max="16384" width="8" style="48"/>
  </cols>
  <sheetData>
    <row r="2" spans="1:23">
      <c r="A2" s="49"/>
      <c r="B2" s="58" t="s">
        <v>410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94"/>
      <c r="S2" s="168"/>
    </row>
    <row r="3" spans="1:23">
      <c r="B3" s="53"/>
      <c r="C3" s="53"/>
      <c r="D3" s="99"/>
      <c r="E3" s="70"/>
      <c r="F3" s="99"/>
      <c r="G3" s="93"/>
      <c r="H3" s="93"/>
      <c r="I3" s="70"/>
      <c r="J3" s="58" t="s">
        <v>360</v>
      </c>
      <c r="K3" s="82"/>
      <c r="L3" s="82"/>
      <c r="M3" s="82"/>
      <c r="N3" s="82"/>
      <c r="O3" s="82"/>
      <c r="P3" s="82"/>
      <c r="Q3" s="82"/>
      <c r="R3" s="94"/>
      <c r="S3" s="168"/>
    </row>
    <row r="4" spans="1:23">
      <c r="B4" s="54"/>
      <c r="C4" s="56"/>
      <c r="D4" s="73"/>
      <c r="E4" s="95"/>
      <c r="F4" s="96" t="s">
        <v>359</v>
      </c>
      <c r="G4" s="49"/>
      <c r="H4" s="49"/>
      <c r="I4" s="66"/>
      <c r="J4" s="53"/>
      <c r="K4" s="58" t="s">
        <v>353</v>
      </c>
      <c r="L4" s="196"/>
      <c r="M4" s="197"/>
      <c r="N4" s="69"/>
      <c r="O4" s="191"/>
      <c r="P4" s="191"/>
      <c r="Q4" s="69"/>
      <c r="R4" s="68"/>
      <c r="S4" s="49"/>
      <c r="T4" s="186" t="s">
        <v>373</v>
      </c>
      <c r="U4" s="186"/>
    </row>
    <row r="5" spans="1:23">
      <c r="B5" s="54"/>
      <c r="C5" s="56"/>
      <c r="D5" s="73"/>
      <c r="E5" s="95"/>
      <c r="F5" s="49"/>
      <c r="G5" s="200"/>
      <c r="H5" s="204"/>
      <c r="I5" s="205"/>
      <c r="J5" s="54"/>
      <c r="K5" s="189"/>
      <c r="L5" s="200"/>
      <c r="M5" s="201"/>
      <c r="N5" s="50"/>
      <c r="O5" s="192" t="s">
        <v>378</v>
      </c>
      <c r="P5" s="193"/>
      <c r="Q5" s="190"/>
      <c r="R5" s="57"/>
      <c r="S5" s="49"/>
      <c r="T5" s="180" t="s">
        <v>375</v>
      </c>
      <c r="U5" s="180" t="s">
        <v>376</v>
      </c>
    </row>
    <row r="6" spans="1:23" ht="18.75">
      <c r="B6" s="54"/>
      <c r="C6" s="56"/>
      <c r="D6" s="169" t="s">
        <v>221</v>
      </c>
      <c r="E6" s="66"/>
      <c r="F6" s="203"/>
      <c r="G6" s="97" t="s">
        <v>353</v>
      </c>
      <c r="H6" s="66"/>
      <c r="I6" s="188"/>
      <c r="J6" s="188"/>
      <c r="K6" s="189"/>
      <c r="L6" s="198" t="s">
        <v>385</v>
      </c>
      <c r="M6" s="199"/>
      <c r="N6" s="190"/>
      <c r="O6" s="194" t="s">
        <v>377</v>
      </c>
      <c r="P6" s="195"/>
      <c r="Q6" s="190"/>
      <c r="R6" s="57"/>
      <c r="S6" s="170"/>
      <c r="T6" s="180" t="s">
        <v>116</v>
      </c>
      <c r="U6" s="180" t="s">
        <v>116</v>
      </c>
    </row>
    <row r="7" spans="1:23" ht="18.75">
      <c r="B7" s="71" t="s">
        <v>153</v>
      </c>
      <c r="C7" s="71" t="s">
        <v>210</v>
      </c>
      <c r="D7" s="98" t="s">
        <v>10</v>
      </c>
      <c r="E7" s="171" t="s">
        <v>329</v>
      </c>
      <c r="F7" s="171" t="s">
        <v>10</v>
      </c>
      <c r="G7" s="171" t="s">
        <v>3</v>
      </c>
      <c r="H7" s="214" t="s">
        <v>380</v>
      </c>
      <c r="I7" s="206" t="s">
        <v>329</v>
      </c>
      <c r="J7" s="103" t="s">
        <v>382</v>
      </c>
      <c r="K7" s="103" t="s">
        <v>384</v>
      </c>
      <c r="L7" s="103" t="s">
        <v>327</v>
      </c>
      <c r="M7" s="78" t="s">
        <v>328</v>
      </c>
      <c r="N7" s="52" t="s">
        <v>3</v>
      </c>
      <c r="O7" s="187" t="s">
        <v>392</v>
      </c>
      <c r="P7" s="187" t="s">
        <v>391</v>
      </c>
      <c r="Q7" s="104" t="s">
        <v>390</v>
      </c>
      <c r="R7" s="52" t="s">
        <v>329</v>
      </c>
      <c r="S7" s="170"/>
      <c r="T7" s="202">
        <v>44593</v>
      </c>
      <c r="U7" s="202">
        <v>44682</v>
      </c>
      <c r="W7" s="270" t="s">
        <v>215</v>
      </c>
    </row>
    <row r="8" spans="1:23" ht="15.75" customHeight="1">
      <c r="B8" s="53"/>
      <c r="C8" s="72"/>
      <c r="D8" s="55"/>
      <c r="E8" s="87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172"/>
      <c r="T8" s="181"/>
      <c r="U8" s="181"/>
      <c r="W8" s="54"/>
    </row>
    <row r="9" spans="1:23" ht="15.75" customHeight="1">
      <c r="B9" s="54" t="s">
        <v>4</v>
      </c>
      <c r="C9" s="81" t="s">
        <v>270</v>
      </c>
      <c r="D9" s="90">
        <f>SUMIFS(RVN!H:H,RVN!A:A,B9,RVN!J:J,C9)/12</f>
        <v>0</v>
      </c>
      <c r="E9" s="81" cm="1">
        <f t="array" ref="E9">IF(OR(C9={"Schedule 15","Schedule 51","Schedule 53"}),D9,SUMIFS('Normalized Units'!I:I,'Normalized Units'!H:H,"Bill",'Normalized Units'!C:C,C9,'Normalized Units'!D:D,B9)/12+SUM(SUMIFS('Normalized Units'!I:I,'Normalized Units'!H:H,{"Annual Bill","Load Size","Load Size Minimum"},'Normalized Units'!C:C,C9,'Normalized Units'!D:D,B9)))</f>
        <v>0</v>
      </c>
      <c r="F9" s="64">
        <f>SUMIFS(RVN!I:I,RVN!A:A,B9,RVN!J:J,C9)</f>
        <v>0</v>
      </c>
      <c r="G9" s="64">
        <f>SUMIFS('Normalized Units'!I:I,'Normalized Units'!B:B,"Temperature kWh Normalization",'Normalized Units'!C:C,C9,'Normalized Units'!D:D,B9)</f>
        <v>0</v>
      </c>
      <c r="H9" s="64">
        <f>I9-G9-F9</f>
        <v>0</v>
      </c>
      <c r="I9" s="64">
        <f>SUMIFS('Normalized Units'!I:I,'Normalized Units'!B:B,"Normalized Billing Units",'Normalized Units'!C:C,C9,'Normalized Units'!D:D,B9,'Normalized Units'!H:H,"kWh*")</f>
        <v>0</v>
      </c>
      <c r="J9" s="64">
        <f>SUMIFS(RVN!F:F,RVN!A:A,B9,RVN!J:J,C9)</f>
        <v>4868922.92</v>
      </c>
      <c r="K9" s="64" cm="1">
        <f t="array" ref="K9">IF(OR(C9={"Alt Rev Program","Blue Sky","Customer Bill Credits","DSM","Income Tax Defer Adj","Irr Demand Charge Accrual","Rev Adj Property Insur","Rev Adj"}),-J9,0)</f>
        <v>-4868922.92</v>
      </c>
      <c r="L9" s="64">
        <f>-SUMIFS(RVN!F:F,RVN!A:A,B9,RVN!B:B,"B",RVN!J:J,C9)</f>
        <v>0</v>
      </c>
      <c r="M9" s="64">
        <v>0</v>
      </c>
      <c r="N9" s="64">
        <f>SUMIFS('Normalized Units'!I:I,'Normalized Units'!B:B,"Temperature $ Normalization",'Normalized Units'!D:D,B9,'Normalized Units'!C:C,C9)</f>
        <v>0</v>
      </c>
      <c r="O9" s="64">
        <f t="shared" ref="O9:O24" si="0">(J9+K9+L9+M9+N9)*T9/100*7/12</f>
        <v>0</v>
      </c>
      <c r="P9" s="64">
        <f t="shared" ref="P9:P24" si="1">(J9+K9+L9+M9+N9)*U9/100*10/12</f>
        <v>0</v>
      </c>
      <c r="Q9" s="64">
        <f>R9-J9-K9-L9-M9-N9-O9-P9</f>
        <v>0</v>
      </c>
      <c r="R9" s="64">
        <v>0</v>
      </c>
      <c r="T9" s="182"/>
      <c r="U9" s="182"/>
      <c r="W9" s="54"/>
    </row>
    <row r="10" spans="1:23" ht="15.75" customHeight="1">
      <c r="B10" s="54" t="s">
        <v>4</v>
      </c>
      <c r="C10" s="81" t="s">
        <v>145</v>
      </c>
      <c r="D10" s="90">
        <f>SUMIFS(RVN!H:H,RVN!A:A,B10,RVN!J:J,C10)/12</f>
        <v>0</v>
      </c>
      <c r="E10" s="81" cm="1">
        <f t="array" ref="E10">IF(OR(C10={"Schedule 15","Schedule 51","Schedule 53"}),D10,SUMIFS('Normalized Units'!I:I,'Normalized Units'!H:H,"Bill",'Normalized Units'!C:C,C10,'Normalized Units'!D:D,B10)/12+SUM(SUMIFS('Normalized Units'!I:I,'Normalized Units'!H:H,{"Annual Bill","Load Size","Load Size Minimum"},'Normalized Units'!C:C,C10,'Normalized Units'!D:D,B10)))</f>
        <v>0</v>
      </c>
      <c r="F10" s="64">
        <f>SUMIFS(RVN!I:I,RVN!A:A,B10,RVN!J:J,C10)</f>
        <v>0</v>
      </c>
      <c r="G10" s="64">
        <f>SUMIFS('Normalized Units'!I:I,'Normalized Units'!B:B,"Temperature kWh Normalization",'Normalized Units'!C:C,C10,'Normalized Units'!D:D,B10)</f>
        <v>0</v>
      </c>
      <c r="H10" s="64">
        <f t="shared" ref="H10:H21" si="2">I10-G10-F10</f>
        <v>0</v>
      </c>
      <c r="I10" s="64">
        <f>SUMIFS('Normalized Units'!I:I,'Normalized Units'!B:B,"Normalized Billing Units",'Normalized Units'!C:C,C10,'Normalized Units'!D:D,B10,'Normalized Units'!H:H,"kWh*")</f>
        <v>0</v>
      </c>
      <c r="J10" s="64">
        <f>SUMIFS(RVN!F:F,RVN!A:A,B10,RVN!J:J,C10)</f>
        <v>357145.71</v>
      </c>
      <c r="K10" s="64" cm="1">
        <f t="array" ref="K10">IF(OR(C10={"Alt Rev Program","Blue Sky","Customer Bill Credits","DSM","Income Tax Defer Adj","Irr Demand Charge Accrual","Rev Adj Property Insur","Rev Adj"}),-J10,0)</f>
        <v>-357145.71</v>
      </c>
      <c r="L10" s="64">
        <f>-SUMIFS(RVN!F:F,RVN!A:A,B10,RVN!B:B,"B",RVN!J:J,C10)</f>
        <v>0</v>
      </c>
      <c r="M10" s="64">
        <v>0</v>
      </c>
      <c r="N10" s="64">
        <f>SUMIFS('Normalized Units'!I:I,'Normalized Units'!B:B,"Temperature $ Normalization",'Normalized Units'!D:D,B10,'Normalized Units'!C:C,C10)</f>
        <v>0</v>
      </c>
      <c r="O10" s="64">
        <f t="shared" si="0"/>
        <v>0</v>
      </c>
      <c r="P10" s="64">
        <f t="shared" si="1"/>
        <v>0</v>
      </c>
      <c r="Q10" s="64">
        <f t="shared" ref="Q10:Q73" si="3">R10-J10-K10-L10-M10-N10-O10-P10</f>
        <v>0</v>
      </c>
      <c r="R10" s="64">
        <v>0</v>
      </c>
      <c r="T10" s="182"/>
      <c r="U10" s="182"/>
      <c r="W10" s="54"/>
    </row>
    <row r="11" spans="1:23" ht="15.75" customHeight="1">
      <c r="B11" s="54" t="s">
        <v>4</v>
      </c>
      <c r="C11" s="81" t="s">
        <v>261</v>
      </c>
      <c r="D11" s="90">
        <f>SUMIFS(RVN!H:H,RVN!A:A,B11,RVN!J:J,C11)/12</f>
        <v>0</v>
      </c>
      <c r="E11" s="81" cm="1">
        <f t="array" ref="E11">IF(OR(C11={"Schedule 15","Schedule 51","Schedule 53"}),D11,SUMIFS('Normalized Units'!I:I,'Normalized Units'!H:H,"Bill",'Normalized Units'!C:C,C11,'Normalized Units'!D:D,B11)/12+SUM(SUMIFS('Normalized Units'!I:I,'Normalized Units'!H:H,{"Annual Bill","Load Size","Load Size Minimum"},'Normalized Units'!C:C,C11,'Normalized Units'!D:D,B11)))</f>
        <v>0</v>
      </c>
      <c r="F11" s="64">
        <f>SUMIFS(RVN!I:I,RVN!A:A,B11,RVN!J:J,C11)</f>
        <v>0</v>
      </c>
      <c r="G11" s="64">
        <f>SUMIFS('Normalized Units'!I:I,'Normalized Units'!B:B,"Temperature kWh Normalization",'Normalized Units'!C:C,C11,'Normalized Units'!D:D,B11)</f>
        <v>0</v>
      </c>
      <c r="H11" s="64">
        <f t="shared" si="2"/>
        <v>0</v>
      </c>
      <c r="I11" s="64">
        <f>SUMIFS('Normalized Units'!I:I,'Normalized Units'!B:B,"Normalized Billing Units",'Normalized Units'!C:C,C11,'Normalized Units'!D:D,B11,'Normalized Units'!H:H,"kWh*")</f>
        <v>0</v>
      </c>
      <c r="J11" s="64">
        <f>SUMIFS(RVN!F:F,RVN!A:A,B11,RVN!J:J,C11)</f>
        <v>-239412.93</v>
      </c>
      <c r="K11" s="64" cm="1">
        <f t="array" ref="K11">IF(OR(C11={"Alt Rev Program","Blue Sky","Customer Bill Credits","DSM","Income Tax Defer Adj","Irr Demand Charge Accrual","Rev Adj Property Insur","Rev Adj"}),-J11,0)</f>
        <v>239412.93</v>
      </c>
      <c r="L11" s="64">
        <f>-SUMIFS(RVN!F:F,RVN!A:A,B11,RVN!B:B,"B",RVN!J:J,C11)</f>
        <v>0</v>
      </c>
      <c r="M11" s="64">
        <v>0</v>
      </c>
      <c r="N11" s="64">
        <f>SUMIFS('Normalized Units'!I:I,'Normalized Units'!B:B,"Temperature $ Normalization",'Normalized Units'!D:D,B11,'Normalized Units'!C:C,C11)</f>
        <v>0</v>
      </c>
      <c r="O11" s="64">
        <f t="shared" si="0"/>
        <v>0</v>
      </c>
      <c r="P11" s="64">
        <f t="shared" si="1"/>
        <v>0</v>
      </c>
      <c r="Q11" s="64">
        <f t="shared" si="3"/>
        <v>0</v>
      </c>
      <c r="R11" s="64">
        <v>0</v>
      </c>
      <c r="T11" s="182"/>
      <c r="U11" s="182"/>
      <c r="W11" s="54"/>
    </row>
    <row r="12" spans="1:23" ht="15.75" customHeight="1">
      <c r="B12" s="54" t="s">
        <v>4</v>
      </c>
      <c r="C12" s="81" t="s">
        <v>149</v>
      </c>
      <c r="D12" s="90">
        <f>SUMIFS(RVN!H:H,RVN!A:A,B12,RVN!J:J,C12)/12</f>
        <v>0</v>
      </c>
      <c r="E12" s="81" cm="1">
        <f t="array" ref="E12">IF(OR(C12={"Schedule 15","Schedule 51","Schedule 53"}),D12,SUMIFS('Normalized Units'!I:I,'Normalized Units'!H:H,"Bill",'Normalized Units'!C:C,C12,'Normalized Units'!D:D,B12)/12+SUM(SUMIFS('Normalized Units'!I:I,'Normalized Units'!H:H,{"Annual Bill","Load Size","Load Size Minimum"},'Normalized Units'!C:C,C12,'Normalized Units'!D:D,B12)))</f>
        <v>0</v>
      </c>
      <c r="F12" s="64">
        <f>SUMIFS(RVN!I:I,RVN!A:A,B12,RVN!J:J,C12)</f>
        <v>0</v>
      </c>
      <c r="G12" s="64">
        <f>SUMIFS('Normalized Units'!I:I,'Normalized Units'!B:B,"Temperature kWh Normalization",'Normalized Units'!C:C,C12,'Normalized Units'!D:D,B12)</f>
        <v>0</v>
      </c>
      <c r="H12" s="64">
        <f t="shared" si="2"/>
        <v>0</v>
      </c>
      <c r="I12" s="64">
        <f>SUMIFS('Normalized Units'!I:I,'Normalized Units'!B:B,"Normalized Billing Units",'Normalized Units'!C:C,C12,'Normalized Units'!D:D,B12,'Normalized Units'!H:H,"kWh*")</f>
        <v>0</v>
      </c>
      <c r="J12" s="64">
        <f>SUMIFS(RVN!F:F,RVN!A:A,B12,RVN!J:J,C12)</f>
        <v>5647775.6699999999</v>
      </c>
      <c r="K12" s="64" cm="1">
        <f t="array" ref="K12">IF(OR(C12={"Alt Rev Program","Blue Sky","Customer Bill Credits","DSM","Income Tax Defer Adj","Irr Demand Charge Accrual","Rev Adj Property Insur","Rev Adj"}),-J12,0)</f>
        <v>-5647775.6699999999</v>
      </c>
      <c r="L12" s="64">
        <f>-SUMIFS(RVN!F:F,RVN!A:A,B12,RVN!B:B,"B",RVN!J:J,C12)</f>
        <v>0</v>
      </c>
      <c r="M12" s="64">
        <v>0</v>
      </c>
      <c r="N12" s="64">
        <f>SUMIFS('Normalized Units'!I:I,'Normalized Units'!B:B,"Temperature $ Normalization",'Normalized Units'!D:D,B12,'Normalized Units'!C:C,C12)</f>
        <v>0</v>
      </c>
      <c r="O12" s="64">
        <f t="shared" si="0"/>
        <v>0</v>
      </c>
      <c r="P12" s="64">
        <f t="shared" si="1"/>
        <v>0</v>
      </c>
      <c r="Q12" s="64">
        <f t="shared" si="3"/>
        <v>0</v>
      </c>
      <c r="R12" s="64">
        <v>0</v>
      </c>
      <c r="T12" s="182"/>
      <c r="U12" s="182"/>
      <c r="W12" s="54"/>
    </row>
    <row r="13" spans="1:23" ht="15.75" customHeight="1">
      <c r="B13" s="54" t="s">
        <v>4</v>
      </c>
      <c r="C13" s="81" t="s">
        <v>273</v>
      </c>
      <c r="D13" s="90">
        <f>SUMIFS(RVN!H:H,RVN!A:A,B13,RVN!J:J,C13)/12</f>
        <v>0</v>
      </c>
      <c r="E13" s="81" cm="1">
        <f t="array" ref="E13">IF(OR(C13={"Schedule 15","Schedule 51","Schedule 53"}),D13,SUMIFS('Normalized Units'!I:I,'Normalized Units'!H:H,"Bill",'Normalized Units'!C:C,C13,'Normalized Units'!D:D,B13)/12+SUM(SUMIFS('Normalized Units'!I:I,'Normalized Units'!H:H,{"Annual Bill","Load Size","Load Size Minimum"},'Normalized Units'!C:C,C13,'Normalized Units'!D:D,B13)))</f>
        <v>0</v>
      </c>
      <c r="F13" s="64">
        <f>SUMIFS(RVN!I:I,RVN!A:A,B13,RVN!J:J,C13)</f>
        <v>0</v>
      </c>
      <c r="G13" s="64">
        <f>SUMIFS('Normalized Units'!I:I,'Normalized Units'!B:B,"Temperature kWh Normalization",'Normalized Units'!C:C,C13,'Normalized Units'!D:D,B13)</f>
        <v>0</v>
      </c>
      <c r="H13" s="64">
        <f t="shared" si="2"/>
        <v>0</v>
      </c>
      <c r="I13" s="64">
        <f>SUMIFS('Normalized Units'!I:I,'Normalized Units'!B:B,"Normalized Billing Units",'Normalized Units'!C:C,C13,'Normalized Units'!D:D,B13,'Normalized Units'!H:H,"kWh*")</f>
        <v>0</v>
      </c>
      <c r="J13" s="64">
        <f>SUMIFS(RVN!F:F,RVN!A:A,B13,RVN!J:J,C13)</f>
        <v>854934.48</v>
      </c>
      <c r="K13" s="64" cm="1">
        <f t="array" ref="K13">IF(OR(C13={"Alt Rev Program","Blue Sky","Customer Bill Credits","DSM","Income Tax Defer Adj","Irr Demand Charge Accrual","Rev Adj Property Insur","Rev Adj"}),-J13,0)</f>
        <v>-854934.48</v>
      </c>
      <c r="L13" s="64">
        <f>-SUMIFS(RVN!F:F,RVN!A:A,B13,RVN!B:B,"B",RVN!J:J,C13)</f>
        <v>0</v>
      </c>
      <c r="M13" s="64">
        <v>0</v>
      </c>
      <c r="N13" s="64">
        <f>SUMIFS('Normalized Units'!I:I,'Normalized Units'!B:B,"Temperature $ Normalization",'Normalized Units'!D:D,B13,'Normalized Units'!C:C,C13)</f>
        <v>0</v>
      </c>
      <c r="O13" s="64">
        <f t="shared" si="0"/>
        <v>0</v>
      </c>
      <c r="P13" s="64">
        <f t="shared" si="1"/>
        <v>0</v>
      </c>
      <c r="Q13" s="64">
        <f t="shared" si="3"/>
        <v>0</v>
      </c>
      <c r="R13" s="64">
        <v>0</v>
      </c>
      <c r="T13" s="182"/>
      <c r="U13" s="182"/>
      <c r="W13" s="54"/>
    </row>
    <row r="14" spans="1:23" ht="15.75" customHeight="1">
      <c r="B14" s="54" t="s">
        <v>4</v>
      </c>
      <c r="C14" s="81" t="s">
        <v>190</v>
      </c>
      <c r="D14" s="90">
        <f>SUMIFS(RVN!H:H,RVN!A:A,B14,RVN!J:J,C14)/12</f>
        <v>0</v>
      </c>
      <c r="E14" s="81" cm="1">
        <f t="array" ref="E14">IF(OR(C14={"Schedule 15","Schedule 51","Schedule 53"}),D14,SUMIFS('Normalized Units'!I:I,'Normalized Units'!H:H,"Bill",'Normalized Units'!C:C,C14,'Normalized Units'!D:D,B14)/12+SUM(SUMIFS('Normalized Units'!I:I,'Normalized Units'!H:H,{"Annual Bill","Load Size","Load Size Minimum"},'Normalized Units'!C:C,C14,'Normalized Units'!D:D,B14)))</f>
        <v>0</v>
      </c>
      <c r="F14" s="64">
        <f>SUMIFS(RVN!I:I,RVN!A:A,B14,RVN!J:J,C14)</f>
        <v>0</v>
      </c>
      <c r="G14" s="64">
        <f>SUMIFS('Normalized Units'!I:I,'Normalized Units'!B:B,"Temperature kWh Normalization",'Normalized Units'!C:C,C14,'Normalized Units'!D:D,B14)</f>
        <v>0</v>
      </c>
      <c r="H14" s="64">
        <f t="shared" si="2"/>
        <v>0</v>
      </c>
      <c r="I14" s="64">
        <f>SUMIFS('Normalized Units'!I:I,'Normalized Units'!B:B,"Normalized Billing Units",'Normalized Units'!C:C,C14,'Normalized Units'!D:D,B14,'Normalized Units'!H:H,"kWh*")</f>
        <v>0</v>
      </c>
      <c r="J14" s="64">
        <f>SUMIFS(RVN!F:F,RVN!A:A,B14,RVN!J:J,C14)</f>
        <v>50185.9</v>
      </c>
      <c r="K14" s="64" cm="1">
        <f t="array" ref="K14">IF(OR(C14={"Alt Rev Program","Blue Sky","Customer Bill Credits","DSM","Income Tax Defer Adj","Irr Demand Charge Accrual","Rev Adj Property Insur","Rev Adj"}),-J14,0)</f>
        <v>-50185.9</v>
      </c>
      <c r="L14" s="64">
        <f>-SUMIFS(RVN!F:F,RVN!A:A,B14,RVN!B:B,"B",RVN!J:J,C14)</f>
        <v>0</v>
      </c>
      <c r="M14" s="64">
        <v>0</v>
      </c>
      <c r="N14" s="64">
        <f>SUMIFS('Normalized Units'!I:I,'Normalized Units'!B:B,"Temperature $ Normalization",'Normalized Units'!D:D,B14,'Normalized Units'!C:C,C14)</f>
        <v>0</v>
      </c>
      <c r="O14" s="64">
        <f t="shared" si="0"/>
        <v>0</v>
      </c>
      <c r="P14" s="64">
        <f t="shared" si="1"/>
        <v>0</v>
      </c>
      <c r="Q14" s="64">
        <f t="shared" si="3"/>
        <v>0</v>
      </c>
      <c r="R14" s="64">
        <v>0</v>
      </c>
      <c r="T14" s="182"/>
      <c r="U14" s="182"/>
      <c r="W14" s="54"/>
    </row>
    <row r="15" spans="1:23" ht="15.75" customHeight="1">
      <c r="B15" s="54" t="s">
        <v>4</v>
      </c>
      <c r="C15" s="81" t="s">
        <v>173</v>
      </c>
      <c r="D15" s="90">
        <f>SUMIFS(RVN!H:H,RVN!A:A,B15,RVN!J:J,C15)/12</f>
        <v>0</v>
      </c>
      <c r="E15" s="81" cm="1">
        <f t="array" ref="E15">IF(OR(C15={"Schedule 15","Schedule 51","Schedule 53"}),D15,SUMIFS('Normalized Units'!I:I,'Normalized Units'!H:H,"Bill",'Normalized Units'!C:C,C15,'Normalized Units'!D:D,B15)/12+SUM(SUMIFS('Normalized Units'!I:I,'Normalized Units'!H:H,{"Annual Bill","Load Size","Load Size Minimum"},'Normalized Units'!C:C,C15,'Normalized Units'!D:D,B15)))</f>
        <v>0</v>
      </c>
      <c r="F15" s="64">
        <f>SUMIFS(RVN!I:I,RVN!A:A,B15,RVN!J:J,C15)</f>
        <v>0</v>
      </c>
      <c r="G15" s="64">
        <f>SUMIFS('Normalized Units'!I:I,'Normalized Units'!B:B,"Temperature kWh Normalization",'Normalized Units'!C:C,C15,'Normalized Units'!D:D,B15)</f>
        <v>0</v>
      </c>
      <c r="H15" s="64">
        <f t="shared" si="2"/>
        <v>0</v>
      </c>
      <c r="I15" s="64">
        <f>SUMIFS('Normalized Units'!I:I,'Normalized Units'!B:B,"Normalized Billing Units",'Normalized Units'!C:C,C15,'Normalized Units'!D:D,B15,'Normalized Units'!H:H,"kWh*")</f>
        <v>0</v>
      </c>
      <c r="J15" s="64">
        <f>SUMIFS(RVN!F:F,RVN!A:A,B15,RVN!J:J,C15)</f>
        <v>-2298133.9500000002</v>
      </c>
      <c r="K15" s="64" cm="1">
        <f t="array" ref="K15">IF(OR(C15={"Alt Rev Program","Blue Sky","Customer Bill Credits","DSM","Income Tax Defer Adj","Irr Demand Charge Accrual","Rev Adj Property Insur","Rev Adj"}),-J15,0)</f>
        <v>2298133.9500000002</v>
      </c>
      <c r="L15" s="64">
        <f>-SUMIFS(RVN!F:F,RVN!A:A,B15,RVN!B:B,"B",RVN!J:J,C15)</f>
        <v>0</v>
      </c>
      <c r="M15" s="64">
        <v>0</v>
      </c>
      <c r="N15" s="64">
        <f>SUMIFS('Normalized Units'!I:I,'Normalized Units'!B:B,"Temperature $ Normalization",'Normalized Units'!D:D,B15,'Normalized Units'!C:C,C15)</f>
        <v>0</v>
      </c>
      <c r="O15" s="64">
        <f t="shared" si="0"/>
        <v>0</v>
      </c>
      <c r="P15" s="64">
        <f t="shared" si="1"/>
        <v>0</v>
      </c>
      <c r="Q15" s="64">
        <f t="shared" si="3"/>
        <v>0</v>
      </c>
      <c r="R15" s="64">
        <v>0</v>
      </c>
      <c r="T15" s="182"/>
      <c r="U15" s="182"/>
      <c r="W15" s="54"/>
    </row>
    <row r="16" spans="1:23" ht="15.75" customHeight="1">
      <c r="B16" s="54" t="s">
        <v>4</v>
      </c>
      <c r="C16" s="81" t="s">
        <v>272</v>
      </c>
      <c r="D16" s="90">
        <f>SUMIFS(RVN!H:H,RVN!A:A,B16,RVN!J:J,C16)/12</f>
        <v>0</v>
      </c>
      <c r="E16" s="81" cm="1">
        <f t="array" ref="E16">IF(OR(C16={"Schedule 15","Schedule 51","Schedule 53"}),D16,SUMIFS('Normalized Units'!I:I,'Normalized Units'!H:H,"Bill",'Normalized Units'!C:C,C16,'Normalized Units'!D:D,B16)/12+SUM(SUMIFS('Normalized Units'!I:I,'Normalized Units'!H:H,{"Annual Bill","Load Size","Load Size Minimum"},'Normalized Units'!C:C,C16,'Normalized Units'!D:D,B16)))</f>
        <v>0</v>
      </c>
      <c r="F16" s="64">
        <f>SUMIFS(RVN!I:I,RVN!A:A,B16,RVN!J:J,C16)</f>
        <v>0</v>
      </c>
      <c r="G16" s="64">
        <f>SUMIFS('Normalized Units'!I:I,'Normalized Units'!B:B,"Temperature kWh Normalization",'Normalized Units'!C:C,C16,'Normalized Units'!D:D,B16)</f>
        <v>0</v>
      </c>
      <c r="H16" s="64">
        <f t="shared" si="2"/>
        <v>0</v>
      </c>
      <c r="I16" s="64">
        <f>SUMIFS('Normalized Units'!I:I,'Normalized Units'!B:B,"Normalized Billing Units",'Normalized Units'!C:C,C16,'Normalized Units'!D:D,B16,'Normalized Units'!H:H,"kWh*")</f>
        <v>0</v>
      </c>
      <c r="J16" s="64">
        <f>SUMIFS(RVN!F:F,RVN!A:A,B16,RVN!J:J,C16)</f>
        <v>481076.4</v>
      </c>
      <c r="K16" s="64" cm="1">
        <f t="array" ref="K16">IF(OR(C16={"Alt Rev Program","Blue Sky","Customer Bill Credits","DSM","Income Tax Defer Adj","Irr Demand Charge Accrual","Rev Adj Property Insur","Rev Adj"}),-J16,0)</f>
        <v>0</v>
      </c>
      <c r="L16" s="64">
        <f>-SUMIFS(RVN!F:F,RVN!A:A,B16,RVN!B:B,"B",RVN!J:J,C16)</f>
        <v>-481076.4</v>
      </c>
      <c r="M16" s="64">
        <v>0</v>
      </c>
      <c r="N16" s="64">
        <f>SUMIFS('Normalized Units'!I:I,'Normalized Units'!B:B,"Temperature $ Normalization",'Normalized Units'!D:D,B16,'Normalized Units'!C:C,C16)</f>
        <v>0</v>
      </c>
      <c r="O16" s="64">
        <f t="shared" si="0"/>
        <v>0</v>
      </c>
      <c r="P16" s="64">
        <f t="shared" si="1"/>
        <v>0</v>
      </c>
      <c r="Q16" s="64">
        <f t="shared" si="3"/>
        <v>0</v>
      </c>
      <c r="R16" s="64">
        <v>0</v>
      </c>
      <c r="T16" s="182"/>
      <c r="U16" s="182"/>
      <c r="W16" s="54"/>
    </row>
    <row r="17" spans="2:23" ht="15.75" customHeight="1">
      <c r="B17" s="54" t="s">
        <v>4</v>
      </c>
      <c r="C17" s="90" t="s">
        <v>168</v>
      </c>
      <c r="D17" s="90">
        <f>SUMIFS(RVN!H:H,RVN!A:A,B17,RVN!J:J,C17)/12</f>
        <v>0</v>
      </c>
      <c r="E17" s="81" cm="1">
        <f t="array" ref="E17">IF(OR(C17={"Schedule 15","Schedule 51","Schedule 53"}),D17,SUMIFS('Normalized Units'!I:I,'Normalized Units'!H:H,"Bill",'Normalized Units'!C:C,C17,'Normalized Units'!D:D,B17)/12+SUM(SUMIFS('Normalized Units'!I:I,'Normalized Units'!H:H,{"Annual Bill","Load Size","Load Size Minimum"},'Normalized Units'!C:C,C17,'Normalized Units'!D:D,B17)))</f>
        <v>0</v>
      </c>
      <c r="F17" s="64">
        <f>SUMIFS(RVN!I:I,RVN!A:A,B17,RVN!J:J,C17)</f>
        <v>14061000</v>
      </c>
      <c r="G17" s="64">
        <f>SUMIFS('Normalized Units'!I:I,'Normalized Units'!B:B,"Temperature kWh Normalization",'Normalized Units'!C:C,C17,'Normalized Units'!D:D,B17)</f>
        <v>0</v>
      </c>
      <c r="H17" s="64">
        <f t="shared" si="2"/>
        <v>-14061000</v>
      </c>
      <c r="I17" s="64">
        <f>SUMIFS('Normalized Units'!I:I,'Normalized Units'!B:B,"Normalized Billing Units",'Normalized Units'!C:C,C17,'Normalized Units'!D:D,B17,'Normalized Units'!H:H,"kWh*")</f>
        <v>0</v>
      </c>
      <c r="J17" s="64">
        <f>SUMIFS(RVN!F:F,RVN!A:A,B17,RVN!J:J,C17)</f>
        <v>5764000</v>
      </c>
      <c r="K17" s="64" cm="1">
        <f t="array" ref="K17">IF(OR(C17={"Alt Rev Program","Blue Sky","Customer Bill Credits","DSM","Income Tax Defer Adj","Irr Demand Charge Accrual","Rev Adj Property Insur","Rev Adj"}),-J17,0)</f>
        <v>0</v>
      </c>
      <c r="L17" s="64">
        <f>-SUMIFS(RVN!F:F,RVN!A:A,B17,RVN!B:B,"B",RVN!J:J,C17)</f>
        <v>0</v>
      </c>
      <c r="M17" s="64">
        <v>0</v>
      </c>
      <c r="N17" s="64">
        <f>SUMIFS('Normalized Units'!I:I,'Normalized Units'!B:B,"Temperature $ Normalization",'Normalized Units'!D:D,B17,'Normalized Units'!C:C,C17)</f>
        <v>0</v>
      </c>
      <c r="O17" s="64">
        <f t="shared" si="0"/>
        <v>0</v>
      </c>
      <c r="P17" s="64">
        <f t="shared" si="1"/>
        <v>0</v>
      </c>
      <c r="Q17" s="64">
        <f t="shared" si="3"/>
        <v>-5764000</v>
      </c>
      <c r="R17" s="64">
        <v>0</v>
      </c>
      <c r="T17" s="182"/>
      <c r="U17" s="182"/>
      <c r="W17" s="54"/>
    </row>
    <row r="18" spans="2:23" ht="15.75" customHeight="1">
      <c r="B18" s="54" t="s">
        <v>4</v>
      </c>
      <c r="C18" s="83" t="s">
        <v>169</v>
      </c>
      <c r="D18" s="90">
        <f>SUMIFS(RVN!H:H,RVN!A:A,B18,RVN!J:J,C18)/12</f>
        <v>967.33333333333337</v>
      </c>
      <c r="E18" s="81" cm="1">
        <f t="array" ref="E18">IF(OR(C18={"Schedule 15","Schedule 51","Schedule 53"}),D18,SUMIFS('Normalized Units'!I:I,'Normalized Units'!H:H,"Bill",'Normalized Units'!C:C,C18,'Normalized Units'!D:D,B18)/12+SUM(SUMIFS('Normalized Units'!I:I,'Normalized Units'!H:H,{"Annual Bill","Load Size","Load Size Minimum"},'Normalized Units'!C:C,C18,'Normalized Units'!D:D,B18)))</f>
        <v>967.33333333333337</v>
      </c>
      <c r="F18" s="64">
        <f>SUMIFS(RVN!I:I,RVN!A:A,B18,RVN!J:J,C18)</f>
        <v>875642</v>
      </c>
      <c r="G18" s="64">
        <f>SUMIFS('Normalized Units'!I:I,'Normalized Units'!B:B,"Temperature kWh Normalization",'Normalized Units'!C:C,C18,'Normalized Units'!D:D,B18)</f>
        <v>0</v>
      </c>
      <c r="H18" s="64">
        <f t="shared" si="2"/>
        <v>9176.8293999613961</v>
      </c>
      <c r="I18" s="64">
        <f>SUMIFS('Normalized Units'!I:I,'Normalized Units'!B:B,"Normalized Billing Units",'Normalized Units'!C:C,C18,'Normalized Units'!D:D,B18,'Normalized Units'!H:H,"kWh*")</f>
        <v>884818.8293999614</v>
      </c>
      <c r="J18" s="64">
        <f>SUMIFS(RVN!F:F,RVN!A:A,B18,RVN!J:J,C18)</f>
        <v>92877.930000000008</v>
      </c>
      <c r="K18" s="64" cm="1">
        <f t="array" ref="K18">IF(OR(C18={"Alt Rev Program","Blue Sky","Customer Bill Credits","DSM","Income Tax Defer Adj","Irr Demand Charge Accrual","Rev Adj Property Insur","Rev Adj"}),-J18,0)</f>
        <v>0</v>
      </c>
      <c r="L18" s="64">
        <f>-SUMIFS(RVN!F:F,RVN!A:A,B18,RVN!B:B,"B",RVN!J:J,C18)</f>
        <v>2223.31</v>
      </c>
      <c r="M18" s="64">
        <v>549.87670050297982</v>
      </c>
      <c r="N18" s="64">
        <f>SUMIFS('Normalized Units'!I:I,'Normalized Units'!B:B,"Temperature $ Normalization",'Normalized Units'!D:D,B18,'Normalized Units'!C:C,C18)</f>
        <v>0</v>
      </c>
      <c r="O18" s="64">
        <f t="shared" si="0"/>
        <v>-152.01539132534324</v>
      </c>
      <c r="P18" s="64">
        <f t="shared" si="1"/>
        <v>9193.0751829525852</v>
      </c>
      <c r="Q18" s="64">
        <f t="shared" si="3"/>
        <v>3338.2298229145326</v>
      </c>
      <c r="R18" s="64">
        <f>SUM('Sch.15,51,53,54'!G51:G53,'Sch.15,51,53,54'!G54)</f>
        <v>108030.40631504476</v>
      </c>
      <c r="T18" s="184">
        <v>-0.27244618012830585</v>
      </c>
      <c r="U18" s="184">
        <v>11.533258157439882</v>
      </c>
      <c r="W18" s="54"/>
    </row>
    <row r="19" spans="2:23" ht="15.75" customHeight="1">
      <c r="B19" s="54" t="s">
        <v>4</v>
      </c>
      <c r="C19" s="83" t="s">
        <v>422</v>
      </c>
      <c r="D19" s="90">
        <f>SUMIFS(RVN!H:H,RVN!A:A,B19,RVN!J:J,C19)/12</f>
        <v>110959.08333333333</v>
      </c>
      <c r="E19" s="81" cm="1">
        <f t="array" ref="E19">IF(OR(C19={"Schedule 15","Schedule 51","Schedule 53"}),D19,SUMIFS('Normalized Units'!I:I,'Normalized Units'!H:H,"Bill",'Normalized Units'!C:C,C19,'Normalized Units'!D:D,B19)/12+SUM(SUMIFS('Normalized Units'!I:I,'Normalized Units'!H:H,{"Annual Bill","Load Size","Load Size Minimum"},'Normalized Units'!C:C,C19,'Normalized Units'!D:D,B19)))</f>
        <v>110741.69655913977</v>
      </c>
      <c r="F19" s="64">
        <f>SUMIFS(RVN!I:I,RVN!A:A,B19,RVN!J:J,C19)</f>
        <v>1637047248</v>
      </c>
      <c r="G19" s="64">
        <f>SUMIFS('Normalized Units'!I:I,'Normalized Units'!B:B,"Temperature kWh Normalization",'Normalized Units'!C:C,C19,'Normalized Units'!D:D,B19)</f>
        <v>-19485564.170899998</v>
      </c>
      <c r="H19" s="64">
        <f t="shared" si="2"/>
        <v>13905276.009183884</v>
      </c>
      <c r="I19" s="64">
        <f>SUMIFS('Normalized Units'!I:I,'Normalized Units'!B:B,"Normalized Billing Units",'Normalized Units'!C:C,C19,'Normalized Units'!D:D,B19,'Normalized Units'!H:H,"kWh*")</f>
        <v>1631466959.8382838</v>
      </c>
      <c r="J19" s="64">
        <f>SUMIFS(RVN!F:F,RVN!A:A,B19,RVN!J:J,C19)</f>
        <v>142069618.81</v>
      </c>
      <c r="K19" s="64" cm="1">
        <f t="array" ref="K19">IF(OR(C19={"Alt Rev Program","Blue Sky","Customer Bill Credits","DSM","Income Tax Defer Adj","Irr Demand Charge Accrual","Rev Adj Property Insur","Rev Adj"}),-J19,0)</f>
        <v>0</v>
      </c>
      <c r="L19" s="64">
        <f>-SUMIFS(RVN!F:F,RVN!A:A,B19,RVN!B:B,"B",RVN!J:J,C19)</f>
        <v>15502951.789999999</v>
      </c>
      <c r="M19" s="64">
        <v>-799560.70216000266</v>
      </c>
      <c r="N19" s="64">
        <f>SUMIFS('Normalized Units'!I:I,'Normalized Units'!B:B,"Temperature $ Normalization",'Normalized Units'!D:D,B19,'Normalized Units'!C:C,C19)</f>
        <v>-2080953.9801362143</v>
      </c>
      <c r="O19" s="64">
        <f t="shared" si="0"/>
        <v>-488441.8684120127</v>
      </c>
      <c r="P19" s="64">
        <f t="shared" si="1"/>
        <v>14193308.248984924</v>
      </c>
      <c r="Q19" s="64">
        <f t="shared" si="3"/>
        <v>7674832.5613096338</v>
      </c>
      <c r="R19" s="64">
        <f>SUM('Sch.16,17,19'!Q27:Q33)</f>
        <v>176071754.85958633</v>
      </c>
      <c r="T19" s="184">
        <v>-0.54128760026513278</v>
      </c>
      <c r="U19" s="184">
        <v>11.010242121187476</v>
      </c>
      <c r="W19" s="54"/>
    </row>
    <row r="20" spans="2:23" ht="15.75" customHeight="1">
      <c r="B20" s="54" t="s">
        <v>4</v>
      </c>
      <c r="C20" s="83" t="s">
        <v>229</v>
      </c>
      <c r="D20" s="90">
        <f>SUMIFS(RVN!H:H,RVN!A:A,B20,RVN!J:J,C20)/12</f>
        <v>3501.75</v>
      </c>
      <c r="E20" s="81" cm="1">
        <f t="array" ref="E20">IF(OR(C20={"Schedule 15","Schedule 51","Schedule 53"}),D20,SUMIFS('Normalized Units'!I:I,'Normalized Units'!H:H,"Bill",'Normalized Units'!C:C,C20,'Normalized Units'!D:D,B20)/12+SUM(SUMIFS('Normalized Units'!I:I,'Normalized Units'!H:H,{"Annual Bill","Load Size","Load Size Minimum"},'Normalized Units'!C:C,C20,'Normalized Units'!D:D,B20)))</f>
        <v>3498.2472222222223</v>
      </c>
      <c r="F20" s="64">
        <f>SUMIFS(RVN!I:I,RVN!A:A,B20,RVN!J:J,C20)</f>
        <v>21583435</v>
      </c>
      <c r="G20" s="64">
        <f>SUMIFS('Normalized Units'!I:I,'Normalized Units'!B:B,"Temperature kWh Normalization",'Normalized Units'!C:C,C20,'Normalized Units'!D:D,B20)</f>
        <v>0</v>
      </c>
      <c r="H20" s="64">
        <f t="shared" si="2"/>
        <v>205905.39749793708</v>
      </c>
      <c r="I20" s="64">
        <f>SUMIFS('Normalized Units'!I:I,'Normalized Units'!B:B,"Normalized Billing Units",'Normalized Units'!C:C,C20,'Normalized Units'!D:D,B20,'Normalized Units'!H:H,"kWh*")</f>
        <v>21789340.397497937</v>
      </c>
      <c r="J20" s="64">
        <f>SUMIFS(RVN!F:F,RVN!A:A,B20,RVN!J:J,C20)</f>
        <v>2409810.13</v>
      </c>
      <c r="K20" s="64" cm="1">
        <f t="array" ref="K20">IF(OR(C20={"Alt Rev Program","Blue Sky","Customer Bill Credits","DSM","Income Tax Defer Adj","Irr Demand Charge Accrual","Rev Adj Property Insur","Rev Adj"}),-J20,0)</f>
        <v>0</v>
      </c>
      <c r="L20" s="64">
        <f>-SUMIFS(RVN!F:F,RVN!A:A,B20,RVN!B:B,"B",RVN!J:J,C20)</f>
        <v>199250.93</v>
      </c>
      <c r="M20" s="64">
        <v>-30632.634600000005</v>
      </c>
      <c r="N20" s="64">
        <f>SUMIFS('Normalized Units'!I:I,'Normalized Units'!B:B,"Temperature $ Normalization",'Normalized Units'!D:D,B20,'Normalized Units'!C:C,C20)</f>
        <v>0</v>
      </c>
      <c r="O20" s="64">
        <f t="shared" si="0"/>
        <v>-7082.4008141795885</v>
      </c>
      <c r="P20" s="64">
        <f t="shared" si="1"/>
        <v>237650.70205660598</v>
      </c>
      <c r="Q20" s="64">
        <f t="shared" si="3"/>
        <v>75765.579751775862</v>
      </c>
      <c r="R20" s="64">
        <f>SUM(Sch.24!S66:S73,Sch.24!S74)</f>
        <v>2884762.3063942022</v>
      </c>
      <c r="T20" s="184">
        <v>-0.47087824579462839</v>
      </c>
      <c r="U20" s="184">
        <v>11.060258243301291</v>
      </c>
      <c r="W20" s="54"/>
    </row>
    <row r="21" spans="2:23" ht="15.75" customHeight="1">
      <c r="B21" s="54" t="s">
        <v>4</v>
      </c>
      <c r="C21" s="83" t="s">
        <v>279</v>
      </c>
      <c r="D21" s="90">
        <f>SUMIFS(RVN!H:H,RVN!A:A,B21,RVN!J:J,C21)/12</f>
        <v>4.416666666666667</v>
      </c>
      <c r="E21" s="81" cm="1">
        <f t="array" ref="E21">IF(OR(C21={"Schedule 15","Schedule 51","Schedule 53"}),D21,SUMIFS('Normalized Units'!I:I,'Normalized Units'!H:H,"Bill",'Normalized Units'!C:C,C21,'Normalized Units'!D:D,B21)/12+SUM(SUMIFS('Normalized Units'!I:I,'Normalized Units'!H:H,{"Annual Bill","Load Size","Load Size Minimum"},'Normalized Units'!C:C,C21,'Normalized Units'!D:D,B21)))</f>
        <v>3.8333333333333335</v>
      </c>
      <c r="F21" s="64">
        <f>SUMIFS(RVN!I:I,RVN!A:A,B21,RVN!J:J,C21)</f>
        <v>2291100</v>
      </c>
      <c r="G21" s="64">
        <f>SUMIFS('Normalized Units'!I:I,'Normalized Units'!B:B,"Temperature kWh Normalization",'Normalized Units'!C:C,C21,'Normalized Units'!D:D,B21)</f>
        <v>0</v>
      </c>
      <c r="H21" s="64">
        <f t="shared" si="2"/>
        <v>19614.354827860836</v>
      </c>
      <c r="I21" s="64">
        <f>SUMIFS('Normalized Units'!I:I,'Normalized Units'!B:B,"Normalized Billing Units",'Normalized Units'!C:C,C21,'Normalized Units'!D:D,B21,'Normalized Units'!H:H,"kWh*")</f>
        <v>2310714.3548278608</v>
      </c>
      <c r="J21" s="64">
        <f>SUMIFS(RVN!F:F,RVN!A:A,B21,RVN!J:J,C21)</f>
        <v>165869.12</v>
      </c>
      <c r="K21" s="64" cm="1">
        <f t="array" ref="K21">IF(OR(C21={"Alt Rev Program","Blue Sky","Customer Bill Credits","DSM","Income Tax Defer Adj","Irr Demand Charge Accrual","Rev Adj Property Insur","Rev Adj"}),-J21,0)</f>
        <v>0</v>
      </c>
      <c r="L21" s="64">
        <f>-SUMIFS(RVN!F:F,RVN!A:A,B21,RVN!B:B,"B",RVN!J:J,C21)</f>
        <v>18017.96</v>
      </c>
      <c r="M21" s="64">
        <v>839.37288000000081</v>
      </c>
      <c r="N21" s="64">
        <f>SUMIFS('Normalized Units'!I:I,'Normalized Units'!B:B,"Temperature $ Normalization",'Normalized Units'!D:D,B21,'Normalized Units'!C:C,C21)</f>
        <v>0</v>
      </c>
      <c r="O21" s="64">
        <f t="shared" si="0"/>
        <v>-584.562936781433</v>
      </c>
      <c r="P21" s="64">
        <f t="shared" si="1"/>
        <v>20075.166566858075</v>
      </c>
      <c r="Q21" s="64">
        <f t="shared" si="3"/>
        <v>8257.2947744145786</v>
      </c>
      <c r="R21" s="64">
        <f>SUM('Sch.29,36'!S55:S62,'Sch.29,36'!S63)</f>
        <v>212474.35128449122</v>
      </c>
      <c r="T21" s="184">
        <v>-0.54248207335865006</v>
      </c>
      <c r="U21" s="184">
        <v>13.041012537537819</v>
      </c>
      <c r="W21" s="54"/>
    </row>
    <row r="22" spans="2:23" ht="15.75" customHeight="1">
      <c r="B22" s="54" t="s">
        <v>4</v>
      </c>
      <c r="C22" s="92" t="s">
        <v>369</v>
      </c>
      <c r="D22" s="90">
        <f>SUMIFS(RVN!H:H,RVN!A:A,B22,RVN!J:J,C22)/12</f>
        <v>0</v>
      </c>
      <c r="E22" s="81" cm="1">
        <f t="array" ref="E22">IF(OR(C22={"Schedule 15","Schedule 51","Schedule 53"}),D22,SUMIFS('Normalized Units'!I:I,'Normalized Units'!H:H,"Bill",'Normalized Units'!C:C,C22,'Normalized Units'!D:D,B22)/12+SUM(SUMIFS('Normalized Units'!I:I,'Normalized Units'!H:H,{"Annual Bill","Load Size","Load Size Minimum"},'Normalized Units'!C:C,C22,'Normalized Units'!D:D,B22)))</f>
        <v>0</v>
      </c>
      <c r="F22" s="64">
        <f>SUMIFS(RVN!I:I,RVN!A:A,B22,RVN!J:J,C22)</f>
        <v>0</v>
      </c>
      <c r="G22" s="64">
        <f>SUMIFS('Normalized Units'!I:I,'Normalized Units'!B:B,"Temperature kWh Normalization",'Normalized Units'!C:C,C22,'Normalized Units'!D:D,B22)</f>
        <v>0</v>
      </c>
      <c r="H22" s="64">
        <f t="shared" ref="H22:H24" si="4">I22-G22-F22</f>
        <v>0</v>
      </c>
      <c r="I22" s="64">
        <f>SUMIFS('Normalized Units'!I:I,'Normalized Units'!B:B,"Normalized Billing Units",'Normalized Units'!C:C,C22,'Normalized Units'!D:D,B22,'Normalized Units'!H:H,"kWh*")</f>
        <v>0</v>
      </c>
      <c r="J22" s="64">
        <f>SUMIFS(RVN!F:F,RVN!A:A,B22,RVN!J:J,C22)</f>
        <v>0</v>
      </c>
      <c r="K22" s="64" cm="1">
        <f t="array" ref="K22">IF(OR(C22={"Alt Rev Program","Blue Sky","Customer Bill Credits","DSM","Income Tax Defer Adj","Irr Demand Charge Accrual","Rev Adj Property Insur","Rev Adj"}),-J22,0)</f>
        <v>0</v>
      </c>
      <c r="L22" s="64">
        <f>-SUMIFS(RVN!F:F,RVN!A:A,B22,RVN!B:B,"B",RVN!J:J,C22)</f>
        <v>0</v>
      </c>
      <c r="M22" s="64">
        <v>0</v>
      </c>
      <c r="N22" s="64">
        <f>SUMIFS('Normalized Units'!I:I,'Normalized Units'!B:B,"Temperature $ Normalization",'Normalized Units'!D:D,B22,'Normalized Units'!C:C,C22)</f>
        <v>0</v>
      </c>
      <c r="O22" s="64">
        <f t="shared" si="0"/>
        <v>0</v>
      </c>
      <c r="P22" s="64">
        <f t="shared" si="1"/>
        <v>0</v>
      </c>
      <c r="Q22" s="64">
        <f t="shared" si="3"/>
        <v>-256071</v>
      </c>
      <c r="R22" s="64">
        <f>'AutoPay&amp;Paperless'!F15</f>
        <v>-256071</v>
      </c>
      <c r="T22" s="184"/>
      <c r="U22" s="184"/>
      <c r="W22" s="54"/>
    </row>
    <row r="23" spans="2:23" ht="15.75" customHeight="1">
      <c r="B23" s="54" t="s">
        <v>4</v>
      </c>
      <c r="C23" s="92" t="s">
        <v>370</v>
      </c>
      <c r="D23" s="90">
        <f>SUMIFS(RVN!H:H,RVN!A:A,B23,RVN!J:J,C23)/12</f>
        <v>0</v>
      </c>
      <c r="E23" s="81" cm="1">
        <f t="array" ref="E23">IF(OR(C23={"Schedule 15","Schedule 51","Schedule 53"}),D23,SUMIFS('Normalized Units'!I:I,'Normalized Units'!H:H,"Bill",'Normalized Units'!C:C,C23,'Normalized Units'!D:D,B23)/12+SUM(SUMIFS('Normalized Units'!I:I,'Normalized Units'!H:H,{"Annual Bill","Load Size","Load Size Minimum"},'Normalized Units'!C:C,C23,'Normalized Units'!D:D,B23)))</f>
        <v>0</v>
      </c>
      <c r="F23" s="64">
        <f>SUMIFS(RVN!I:I,RVN!A:A,B23,RVN!J:J,C23)</f>
        <v>0</v>
      </c>
      <c r="G23" s="64">
        <f>SUMIFS('Normalized Units'!I:I,'Normalized Units'!B:B,"Temperature kWh Normalization",'Normalized Units'!C:C,C23,'Normalized Units'!D:D,B23)</f>
        <v>0</v>
      </c>
      <c r="H23" s="64">
        <f t="shared" si="4"/>
        <v>0</v>
      </c>
      <c r="I23" s="64">
        <f>SUMIFS('Normalized Units'!I:I,'Normalized Units'!B:B,"Normalized Billing Units",'Normalized Units'!C:C,C23,'Normalized Units'!D:D,B23,'Normalized Units'!H:H,"kWh*")</f>
        <v>0</v>
      </c>
      <c r="J23" s="64">
        <f>SUMIFS(RVN!F:F,RVN!A:A,B23,RVN!J:J,C23)</f>
        <v>0</v>
      </c>
      <c r="K23" s="64" cm="1">
        <f t="array" ref="K23">IF(OR(C23={"Alt Rev Program","Blue Sky","Customer Bill Credits","DSM","Income Tax Defer Adj","Irr Demand Charge Accrual","Rev Adj Property Insur","Rev Adj"}),-J23,0)</f>
        <v>0</v>
      </c>
      <c r="L23" s="64">
        <f>-SUMIFS(RVN!F:F,RVN!A:A,B23,RVN!B:B,"B",RVN!J:J,C23)</f>
        <v>0</v>
      </c>
      <c r="M23" s="64">
        <v>0</v>
      </c>
      <c r="N23" s="64">
        <f>SUMIFS('Normalized Units'!I:I,'Normalized Units'!B:B,"Temperature $ Normalization",'Normalized Units'!D:D,B23,'Normalized Units'!C:C,C23)</f>
        <v>0</v>
      </c>
      <c r="O23" s="64">
        <f t="shared" si="0"/>
        <v>0</v>
      </c>
      <c r="P23" s="64">
        <f t="shared" si="1"/>
        <v>0</v>
      </c>
      <c r="Q23" s="64">
        <f t="shared" si="3"/>
        <v>-231776.5</v>
      </c>
      <c r="R23" s="64">
        <f>'AutoPay&amp;Paperless'!F16</f>
        <v>-231776.5</v>
      </c>
      <c r="T23" s="184"/>
      <c r="U23" s="184"/>
      <c r="W23" s="54"/>
    </row>
    <row r="24" spans="2:23" ht="15.75" customHeight="1">
      <c r="B24" s="54" t="s">
        <v>4</v>
      </c>
      <c r="C24" s="59" t="s">
        <v>352</v>
      </c>
      <c r="D24" s="90">
        <f>SUMIFS(RVN!H:H,RVN!A:A,B24,RVN!J:J,C24)/12</f>
        <v>0</v>
      </c>
      <c r="E24" s="81" cm="1">
        <f t="array" ref="E24">IF(OR(C24={"Schedule 15","Schedule 51","Schedule 53"}),D24,SUMIFS('Normalized Units'!I:I,'Normalized Units'!H:H,"Bill",'Normalized Units'!C:C,C24,'Normalized Units'!D:D,B24)/12+SUM(SUMIFS('Normalized Units'!I:I,'Normalized Units'!H:H,{"Annual Bill","Load Size","Load Size Minimum"},'Normalized Units'!C:C,C24,'Normalized Units'!D:D,B24)))</f>
        <v>0</v>
      </c>
      <c r="F24" s="64">
        <f>SUMIFS(RVN!I:I,RVN!A:A,B24,RVN!J:J,C24)</f>
        <v>0</v>
      </c>
      <c r="G24" s="64">
        <f>SUMIFS('Normalized Units'!I:I,'Normalized Units'!B:B,"Temperature kWh Normalization",'Normalized Units'!C:C,C24,'Normalized Units'!D:D,B24)</f>
        <v>0</v>
      </c>
      <c r="H24" s="64">
        <f t="shared" si="4"/>
        <v>0</v>
      </c>
      <c r="I24" s="64">
        <f>SUMIFS('Normalized Units'!I:I,'Normalized Units'!B:B,"Normalized Billing Units",'Normalized Units'!C:C,C24,'Normalized Units'!D:D,B24,'Normalized Units'!H:H,"kWh*")</f>
        <v>0</v>
      </c>
      <c r="J24" s="64">
        <f>SUMIFS(RVN!F:F,RVN!A:A,B24,RVN!J:J,C24)</f>
        <v>1155.94</v>
      </c>
      <c r="K24" s="64" cm="1">
        <f t="array" ref="K24">IF(OR(C24={"Alt Rev Program","Blue Sky","Customer Bill Credits","DSM","Income Tax Defer Adj","Irr Demand Charge Accrual","Rev Adj Property Insur","Rev Adj"}),-J24,0)</f>
        <v>0</v>
      </c>
      <c r="L24" s="64">
        <f>-SUMIFS(RVN!F:F,RVN!A:A,B24,RVN!B:B,"B",RVN!J:J,C24)</f>
        <v>0</v>
      </c>
      <c r="M24" s="64">
        <v>0</v>
      </c>
      <c r="N24" s="64">
        <f>SUMIFS('Normalized Units'!I:I,'Normalized Units'!B:B,"Temperature $ Normalization",'Normalized Units'!D:D,B24,'Normalized Units'!C:C,C24)</f>
        <v>0</v>
      </c>
      <c r="O24" s="64">
        <f t="shared" si="0"/>
        <v>0</v>
      </c>
      <c r="P24" s="64">
        <f t="shared" si="1"/>
        <v>0</v>
      </c>
      <c r="Q24" s="64">
        <f t="shared" si="3"/>
        <v>0</v>
      </c>
      <c r="R24" s="64">
        <f>J24</f>
        <v>1155.94</v>
      </c>
      <c r="T24" s="184"/>
      <c r="U24" s="184"/>
      <c r="W24" s="54"/>
    </row>
    <row r="25" spans="2:23" ht="15.75" customHeight="1">
      <c r="B25" s="61" t="s">
        <v>4</v>
      </c>
      <c r="C25" s="62" t="s">
        <v>1</v>
      </c>
      <c r="D25" s="65">
        <f t="shared" ref="D25:H25" si="5">SUM(D9:D24)</f>
        <v>115432.58333333333</v>
      </c>
      <c r="E25" s="65">
        <f t="shared" si="5"/>
        <v>115211.11044802866</v>
      </c>
      <c r="F25" s="65">
        <f t="shared" si="5"/>
        <v>1675858425</v>
      </c>
      <c r="G25" s="65">
        <f t="shared" si="5"/>
        <v>-19485564.170899998</v>
      </c>
      <c r="H25" s="65">
        <f t="shared" si="5"/>
        <v>78972.590909643564</v>
      </c>
      <c r="I25" s="65">
        <f t="shared" ref="I25:O25" si="6">SUM(I9:I24)</f>
        <v>1656451833.4200096</v>
      </c>
      <c r="J25" s="65">
        <f t="shared" si="6"/>
        <v>160225826.13</v>
      </c>
      <c r="K25" s="65">
        <f t="shared" si="6"/>
        <v>-9241417.8000000007</v>
      </c>
      <c r="L25" s="65">
        <f t="shared" si="6"/>
        <v>15241367.59</v>
      </c>
      <c r="M25" s="65">
        <f t="shared" si="6"/>
        <v>-828804.08717949968</v>
      </c>
      <c r="N25" s="65">
        <f t="shared" si="6"/>
        <v>-2080953.9801362143</v>
      </c>
      <c r="O25" s="65">
        <f t="shared" si="6"/>
        <v>-496260.84755429905</v>
      </c>
      <c r="P25" s="65">
        <f t="shared" ref="P25:Q25" si="7">SUM(P9:P24)</f>
        <v>14460227.192791339</v>
      </c>
      <c r="Q25" s="65">
        <f t="shared" si="7"/>
        <v>1510346.1656587382</v>
      </c>
      <c r="R25" s="65">
        <f>SUM(R9:R24)</f>
        <v>178790330.36358008</v>
      </c>
      <c r="T25" s="184"/>
      <c r="U25" s="184"/>
      <c r="W25" s="54"/>
    </row>
    <row r="26" spans="2:23" ht="15.75" customHeight="1">
      <c r="B26" s="54"/>
      <c r="C26" s="84"/>
      <c r="D26" s="60"/>
      <c r="E26" s="88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51"/>
      <c r="T26" s="184"/>
      <c r="U26" s="184"/>
      <c r="W26" s="54"/>
    </row>
    <row r="27" spans="2:23" ht="15.75" customHeight="1">
      <c r="B27" s="54" t="s">
        <v>5</v>
      </c>
      <c r="C27" s="81" t="s">
        <v>270</v>
      </c>
      <c r="D27" s="90">
        <f>SUMIFS(RVN!H:H,RVN!A:A,B27,RVN!J:J,C27)/12</f>
        <v>0</v>
      </c>
      <c r="E27" s="81" cm="1">
        <f t="array" ref="E27">IF(OR(C27={"Schedule 15","Schedule 51","Schedule 53"}),D27,SUMIFS('Normalized Units'!I:I,'Normalized Units'!H:H,"Bill",'Normalized Units'!C:C,C27,'Normalized Units'!D:D,B27)/12+SUM(SUMIFS('Normalized Units'!I:I,'Normalized Units'!H:H,{"Annual Bill","Load Size","Load Size Minimum"},'Normalized Units'!C:C,C27,'Normalized Units'!D:D,B27)))</f>
        <v>0</v>
      </c>
      <c r="F27" s="64">
        <f>SUMIFS(RVN!I:I,RVN!A:A,B27,RVN!J:J,C27)</f>
        <v>0</v>
      </c>
      <c r="G27" s="64">
        <f>SUMIFS('Normalized Units'!I:I,'Normalized Units'!B:B,"Temperature kWh Normalization",'Normalized Units'!C:C,C27,'Normalized Units'!D:D,B27)</f>
        <v>0</v>
      </c>
      <c r="H27" s="64">
        <f>I27-G27-F27</f>
        <v>0</v>
      </c>
      <c r="I27" s="64">
        <f>SUMIFS('Normalized Units'!I:I,'Normalized Units'!B:B,"Normalized Billing Units",'Normalized Units'!C:C,C27,'Normalized Units'!D:D,B27,'Normalized Units'!H:H,"kWh*")</f>
        <v>0</v>
      </c>
      <c r="J27" s="64">
        <f>SUMIFS(RVN!F:F,RVN!A:A,B27,RVN!J:J,C27)</f>
        <v>-1085030.27</v>
      </c>
      <c r="K27" s="64" cm="1">
        <f t="array" ref="K27">IF(OR(C27={"Alt Rev Program","Blue Sky","Customer Bill Credits","DSM","Income Tax Defer Adj","Irr Demand Charge Accrual","Rev Adj Property Insur","Rev Adj"}),-J27,0)</f>
        <v>1085030.27</v>
      </c>
      <c r="L27" s="64">
        <f>-SUMIFS(RVN!F:F,RVN!A:A,B27,RVN!B:B,"B",RVN!J:J,C27)</f>
        <v>0</v>
      </c>
      <c r="M27" s="64">
        <v>0</v>
      </c>
      <c r="N27" s="64">
        <f>SUMIFS('Normalized Units'!I:I,'Normalized Units'!B:B,"Temperature $ Normalization",'Normalized Units'!D:D,B27,'Normalized Units'!C:C,C27)</f>
        <v>0</v>
      </c>
      <c r="O27" s="64">
        <f t="shared" ref="O27:O42" si="8">(J27+K27+L27+M27+N27)*T27/100*7/12</f>
        <v>0</v>
      </c>
      <c r="P27" s="64">
        <f t="shared" ref="P27:P42" si="9">(J27+K27+L27+M27+N27)*U27/100*10/12</f>
        <v>0</v>
      </c>
      <c r="Q27" s="64">
        <f t="shared" si="3"/>
        <v>0</v>
      </c>
      <c r="R27" s="64">
        <v>0</v>
      </c>
      <c r="T27" s="184"/>
      <c r="U27" s="184"/>
      <c r="W27" s="54"/>
    </row>
    <row r="28" spans="2:23" ht="15.75" customHeight="1">
      <c r="B28" s="54" t="s">
        <v>5</v>
      </c>
      <c r="C28" s="81" t="s">
        <v>145</v>
      </c>
      <c r="D28" s="90">
        <f>SUMIFS(RVN!H:H,RVN!A:A,B28,RVN!J:J,C28)/12</f>
        <v>0</v>
      </c>
      <c r="E28" s="81" cm="1">
        <f t="array" ref="E28">IF(OR(C28={"Schedule 15","Schedule 51","Schedule 53"}),D28,SUMIFS('Normalized Units'!I:I,'Normalized Units'!H:H,"Bill",'Normalized Units'!C:C,C28,'Normalized Units'!D:D,B28)/12+SUM(SUMIFS('Normalized Units'!I:I,'Normalized Units'!H:H,{"Annual Bill","Load Size","Load Size Minimum"},'Normalized Units'!C:C,C28,'Normalized Units'!D:D,B28)))</f>
        <v>0</v>
      </c>
      <c r="F28" s="64">
        <f>SUMIFS(RVN!I:I,RVN!A:A,B28,RVN!J:J,C28)</f>
        <v>0</v>
      </c>
      <c r="G28" s="64">
        <f>SUMIFS('Normalized Units'!I:I,'Normalized Units'!B:B,"Temperature kWh Normalization",'Normalized Units'!C:C,C28,'Normalized Units'!D:D,B28)</f>
        <v>0</v>
      </c>
      <c r="H28" s="64">
        <f t="shared" ref="H28:H35" si="10">I28-G28-F28</f>
        <v>0</v>
      </c>
      <c r="I28" s="64">
        <f>SUMIFS('Normalized Units'!I:I,'Normalized Units'!B:B,"Normalized Billing Units",'Normalized Units'!C:C,C28,'Normalized Units'!D:D,B28,'Normalized Units'!H:H,"kWh*")</f>
        <v>0</v>
      </c>
      <c r="J28" s="64">
        <f>SUMIFS(RVN!F:F,RVN!A:A,B28,RVN!J:J,C28)</f>
        <v>30424.7</v>
      </c>
      <c r="K28" s="64" cm="1">
        <f t="array" ref="K28">IF(OR(C28={"Alt Rev Program","Blue Sky","Customer Bill Credits","DSM","Income Tax Defer Adj","Irr Demand Charge Accrual","Rev Adj Property Insur","Rev Adj"}),-J28,0)</f>
        <v>-30424.7</v>
      </c>
      <c r="L28" s="64">
        <f>-SUMIFS(RVN!F:F,RVN!A:A,B28,RVN!B:B,"B",RVN!J:J,C28)</f>
        <v>0</v>
      </c>
      <c r="M28" s="64">
        <v>0</v>
      </c>
      <c r="N28" s="64">
        <f>SUMIFS('Normalized Units'!I:I,'Normalized Units'!B:B,"Temperature $ Normalization",'Normalized Units'!D:D,B28,'Normalized Units'!C:C,C28)</f>
        <v>0</v>
      </c>
      <c r="O28" s="64">
        <f t="shared" si="8"/>
        <v>0</v>
      </c>
      <c r="P28" s="64">
        <f t="shared" si="9"/>
        <v>0</v>
      </c>
      <c r="Q28" s="64">
        <f t="shared" si="3"/>
        <v>0</v>
      </c>
      <c r="R28" s="64">
        <v>0</v>
      </c>
      <c r="T28" s="184"/>
      <c r="U28" s="184"/>
      <c r="W28" s="54"/>
    </row>
    <row r="29" spans="2:23" ht="15.75" customHeight="1">
      <c r="B29" s="54" t="s">
        <v>5</v>
      </c>
      <c r="C29" s="81" t="s">
        <v>149</v>
      </c>
      <c r="D29" s="90">
        <f>SUMIFS(RVN!H:H,RVN!A:A,B29,RVN!J:J,C29)/12</f>
        <v>0</v>
      </c>
      <c r="E29" s="81" cm="1">
        <f t="array" ref="E29">IF(OR(C29={"Schedule 15","Schedule 51","Schedule 53"}),D29,SUMIFS('Normalized Units'!I:I,'Normalized Units'!H:H,"Bill",'Normalized Units'!C:C,C29,'Normalized Units'!D:D,B29)/12+SUM(SUMIFS('Normalized Units'!I:I,'Normalized Units'!H:H,{"Annual Bill","Load Size","Load Size Minimum"},'Normalized Units'!C:C,C29,'Normalized Units'!D:D,B29)))</f>
        <v>0</v>
      </c>
      <c r="F29" s="64">
        <f>SUMIFS(RVN!I:I,RVN!A:A,B29,RVN!J:J,C29)</f>
        <v>0</v>
      </c>
      <c r="G29" s="64">
        <f>SUMIFS('Normalized Units'!I:I,'Normalized Units'!B:B,"Temperature kWh Normalization",'Normalized Units'!C:C,C29,'Normalized Units'!D:D,B29)</f>
        <v>0</v>
      </c>
      <c r="H29" s="64">
        <f t="shared" si="10"/>
        <v>0</v>
      </c>
      <c r="I29" s="64">
        <f>SUMIFS('Normalized Units'!I:I,'Normalized Units'!B:B,"Normalized Billing Units",'Normalized Units'!C:C,C29,'Normalized Units'!D:D,B29,'Normalized Units'!H:H,"kWh*")</f>
        <v>0</v>
      </c>
      <c r="J29" s="64">
        <f>SUMIFS(RVN!F:F,RVN!A:A,B29,RVN!J:J,C29)</f>
        <v>4534087.8899999997</v>
      </c>
      <c r="K29" s="64" cm="1">
        <f t="array" ref="K29">IF(OR(C29={"Alt Rev Program","Blue Sky","Customer Bill Credits","DSM","Income Tax Defer Adj","Irr Demand Charge Accrual","Rev Adj Property Insur","Rev Adj"}),-J29,0)</f>
        <v>-4534087.8899999997</v>
      </c>
      <c r="L29" s="64">
        <f>-SUMIFS(RVN!F:F,RVN!A:A,B29,RVN!B:B,"B",RVN!J:J,C29)</f>
        <v>0</v>
      </c>
      <c r="M29" s="64">
        <v>0</v>
      </c>
      <c r="N29" s="64">
        <f>SUMIFS('Normalized Units'!I:I,'Normalized Units'!B:B,"Temperature $ Normalization",'Normalized Units'!D:D,B29,'Normalized Units'!C:C,C29)</f>
        <v>0</v>
      </c>
      <c r="O29" s="64">
        <f t="shared" si="8"/>
        <v>0</v>
      </c>
      <c r="P29" s="64">
        <f t="shared" si="9"/>
        <v>0</v>
      </c>
      <c r="Q29" s="64">
        <f t="shared" si="3"/>
        <v>0</v>
      </c>
      <c r="R29" s="64">
        <v>0</v>
      </c>
      <c r="T29" s="184"/>
      <c r="U29" s="184"/>
      <c r="W29" s="54"/>
    </row>
    <row r="30" spans="2:23" ht="15.75" customHeight="1">
      <c r="B30" s="54" t="s">
        <v>5</v>
      </c>
      <c r="C30" s="81" t="s">
        <v>273</v>
      </c>
      <c r="D30" s="90">
        <f>SUMIFS(RVN!H:H,RVN!A:A,B30,RVN!J:J,C30)/12</f>
        <v>0</v>
      </c>
      <c r="E30" s="81" cm="1">
        <f t="array" ref="E30">IF(OR(C30={"Schedule 15","Schedule 51","Schedule 53"}),D30,SUMIFS('Normalized Units'!I:I,'Normalized Units'!H:H,"Bill",'Normalized Units'!C:C,C30,'Normalized Units'!D:D,B30)/12+SUM(SUMIFS('Normalized Units'!I:I,'Normalized Units'!H:H,{"Annual Bill","Load Size","Load Size Minimum"},'Normalized Units'!C:C,C30,'Normalized Units'!D:D,B30)))</f>
        <v>0</v>
      </c>
      <c r="F30" s="64">
        <f>SUMIFS(RVN!I:I,RVN!A:A,B30,RVN!J:J,C30)</f>
        <v>0</v>
      </c>
      <c r="G30" s="64">
        <f>SUMIFS('Normalized Units'!I:I,'Normalized Units'!B:B,"Temperature kWh Normalization",'Normalized Units'!C:C,C30,'Normalized Units'!D:D,B30)</f>
        <v>0</v>
      </c>
      <c r="H30" s="64">
        <f t="shared" si="10"/>
        <v>0</v>
      </c>
      <c r="I30" s="64">
        <f>SUMIFS('Normalized Units'!I:I,'Normalized Units'!B:B,"Normalized Billing Units",'Normalized Units'!C:C,C30,'Normalized Units'!D:D,B30,'Normalized Units'!H:H,"kWh*")</f>
        <v>0</v>
      </c>
      <c r="J30" s="64">
        <f>SUMIFS(RVN!F:F,RVN!A:A,B30,RVN!J:J,C30)</f>
        <v>789363.18</v>
      </c>
      <c r="K30" s="64" cm="1">
        <f t="array" ref="K30">IF(OR(C30={"Alt Rev Program","Blue Sky","Customer Bill Credits","DSM","Income Tax Defer Adj","Irr Demand Charge Accrual","Rev Adj Property Insur","Rev Adj"}),-J30,0)</f>
        <v>-789363.18</v>
      </c>
      <c r="L30" s="64">
        <f>-SUMIFS(RVN!F:F,RVN!A:A,B30,RVN!B:B,"B",RVN!J:J,C30)</f>
        <v>0</v>
      </c>
      <c r="M30" s="64">
        <v>0</v>
      </c>
      <c r="N30" s="64">
        <f>SUMIFS('Normalized Units'!I:I,'Normalized Units'!B:B,"Temperature $ Normalization",'Normalized Units'!D:D,B30,'Normalized Units'!C:C,C30)</f>
        <v>0</v>
      </c>
      <c r="O30" s="64">
        <f t="shared" si="8"/>
        <v>0</v>
      </c>
      <c r="P30" s="64">
        <f t="shared" si="9"/>
        <v>0</v>
      </c>
      <c r="Q30" s="64">
        <f t="shared" si="3"/>
        <v>0</v>
      </c>
      <c r="R30" s="64">
        <v>0</v>
      </c>
      <c r="T30" s="184"/>
      <c r="U30" s="184"/>
      <c r="W30" s="54"/>
    </row>
    <row r="31" spans="2:23" ht="15.75" customHeight="1">
      <c r="B31" s="54" t="s">
        <v>5</v>
      </c>
      <c r="C31" s="81" t="s">
        <v>190</v>
      </c>
      <c r="D31" s="90">
        <f>SUMIFS(RVN!H:H,RVN!A:A,B31,RVN!J:J,C31)/12</f>
        <v>0</v>
      </c>
      <c r="E31" s="81" cm="1">
        <f t="array" ref="E31">IF(OR(C31={"Schedule 15","Schedule 51","Schedule 53"}),D31,SUMIFS('Normalized Units'!I:I,'Normalized Units'!H:H,"Bill",'Normalized Units'!C:C,C31,'Normalized Units'!D:D,B31)/12+SUM(SUMIFS('Normalized Units'!I:I,'Normalized Units'!H:H,{"Annual Bill","Load Size","Load Size Minimum"},'Normalized Units'!C:C,C31,'Normalized Units'!D:D,B31)))</f>
        <v>0</v>
      </c>
      <c r="F31" s="64">
        <f>SUMIFS(RVN!I:I,RVN!A:A,B31,RVN!J:J,C31)</f>
        <v>0</v>
      </c>
      <c r="G31" s="64">
        <f>SUMIFS('Normalized Units'!I:I,'Normalized Units'!B:B,"Temperature kWh Normalization",'Normalized Units'!C:C,C31,'Normalized Units'!D:D,B31)</f>
        <v>0</v>
      </c>
      <c r="H31" s="64">
        <f t="shared" si="10"/>
        <v>0</v>
      </c>
      <c r="I31" s="64">
        <f>SUMIFS('Normalized Units'!I:I,'Normalized Units'!B:B,"Normalized Billing Units",'Normalized Units'!C:C,C31,'Normalized Units'!D:D,B31,'Normalized Units'!H:H,"kWh*")</f>
        <v>0</v>
      </c>
      <c r="J31" s="64">
        <f>SUMIFS(RVN!F:F,RVN!A:A,B31,RVN!J:J,C31)</f>
        <v>44874.79</v>
      </c>
      <c r="K31" s="64" cm="1">
        <f t="array" ref="K31">IF(OR(C31={"Alt Rev Program","Blue Sky","Customer Bill Credits","DSM","Income Tax Defer Adj","Irr Demand Charge Accrual","Rev Adj Property Insur","Rev Adj"}),-J31,0)</f>
        <v>-44874.79</v>
      </c>
      <c r="L31" s="64">
        <f>-SUMIFS(RVN!F:F,RVN!A:A,B31,RVN!B:B,"B",RVN!J:J,C31)</f>
        <v>0</v>
      </c>
      <c r="M31" s="64">
        <v>0</v>
      </c>
      <c r="N31" s="64">
        <f>SUMIFS('Normalized Units'!I:I,'Normalized Units'!B:B,"Temperature $ Normalization",'Normalized Units'!D:D,B31,'Normalized Units'!C:C,C31)</f>
        <v>0</v>
      </c>
      <c r="O31" s="64">
        <f t="shared" si="8"/>
        <v>0</v>
      </c>
      <c r="P31" s="64">
        <f t="shared" si="9"/>
        <v>0</v>
      </c>
      <c r="Q31" s="64">
        <f t="shared" si="3"/>
        <v>0</v>
      </c>
      <c r="R31" s="64">
        <v>0</v>
      </c>
      <c r="T31" s="184"/>
      <c r="U31" s="184"/>
      <c r="W31" s="54"/>
    </row>
    <row r="32" spans="2:23" ht="15.75" customHeight="1">
      <c r="B32" s="54" t="s">
        <v>5</v>
      </c>
      <c r="C32" s="81" t="s">
        <v>173</v>
      </c>
      <c r="D32" s="90">
        <f>SUMIFS(RVN!H:H,RVN!A:A,B32,RVN!J:J,C32)/12</f>
        <v>0</v>
      </c>
      <c r="E32" s="81" cm="1">
        <f t="array" ref="E32">IF(OR(C32={"Schedule 15","Schedule 51","Schedule 53"}),D32,SUMIFS('Normalized Units'!I:I,'Normalized Units'!H:H,"Bill",'Normalized Units'!C:C,C32,'Normalized Units'!D:D,B32)/12+SUM(SUMIFS('Normalized Units'!I:I,'Normalized Units'!H:H,{"Annual Bill","Load Size","Load Size Minimum"},'Normalized Units'!C:C,C32,'Normalized Units'!D:D,B32)))</f>
        <v>0</v>
      </c>
      <c r="F32" s="64">
        <f>SUMIFS(RVN!I:I,RVN!A:A,B32,RVN!J:J,C32)</f>
        <v>0</v>
      </c>
      <c r="G32" s="64">
        <f>SUMIFS('Normalized Units'!I:I,'Normalized Units'!B:B,"Temperature kWh Normalization",'Normalized Units'!C:C,C32,'Normalized Units'!D:D,B32)</f>
        <v>0</v>
      </c>
      <c r="H32" s="64">
        <f t="shared" si="10"/>
        <v>0</v>
      </c>
      <c r="I32" s="64">
        <f>SUMIFS('Normalized Units'!I:I,'Normalized Units'!B:B,"Normalized Billing Units",'Normalized Units'!C:C,C32,'Normalized Units'!D:D,B32,'Normalized Units'!H:H,"kWh*")</f>
        <v>0</v>
      </c>
      <c r="J32" s="64">
        <f>SUMIFS(RVN!F:F,RVN!A:A,B32,RVN!J:J,C32)</f>
        <v>-271170.24</v>
      </c>
      <c r="K32" s="64" cm="1">
        <f t="array" ref="K32">IF(OR(C32={"Alt Rev Program","Blue Sky","Customer Bill Credits","DSM","Income Tax Defer Adj","Irr Demand Charge Accrual","Rev Adj Property Insur","Rev Adj"}),-J32,0)</f>
        <v>271170.24</v>
      </c>
      <c r="L32" s="64">
        <f>-SUMIFS(RVN!F:F,RVN!A:A,B32,RVN!B:B,"B",RVN!J:J,C32)</f>
        <v>0</v>
      </c>
      <c r="M32" s="64">
        <v>0</v>
      </c>
      <c r="N32" s="64">
        <f>SUMIFS('Normalized Units'!I:I,'Normalized Units'!B:B,"Temperature $ Normalization",'Normalized Units'!D:D,B32,'Normalized Units'!C:C,C32)</f>
        <v>0</v>
      </c>
      <c r="O32" s="64">
        <f t="shared" si="8"/>
        <v>0</v>
      </c>
      <c r="P32" s="64">
        <f t="shared" si="9"/>
        <v>0</v>
      </c>
      <c r="Q32" s="64">
        <f t="shared" si="3"/>
        <v>0</v>
      </c>
      <c r="R32" s="64">
        <v>0</v>
      </c>
      <c r="T32" s="184"/>
      <c r="U32" s="184"/>
      <c r="W32" s="54"/>
    </row>
    <row r="33" spans="2:23" ht="15.75" customHeight="1">
      <c r="B33" s="54" t="s">
        <v>5</v>
      </c>
      <c r="C33" s="81" t="s">
        <v>272</v>
      </c>
      <c r="D33" s="90">
        <f>SUMIFS(RVN!H:H,RVN!A:A,B33,RVN!J:J,C33)/12</f>
        <v>0</v>
      </c>
      <c r="E33" s="81" cm="1">
        <f t="array" ref="E33">IF(OR(C33={"Schedule 15","Schedule 51","Schedule 53"}),D33,SUMIFS('Normalized Units'!I:I,'Normalized Units'!H:H,"Bill",'Normalized Units'!C:C,C33,'Normalized Units'!D:D,B33)/12+SUM(SUMIFS('Normalized Units'!I:I,'Normalized Units'!H:H,{"Annual Bill","Load Size","Load Size Minimum"},'Normalized Units'!C:C,C33,'Normalized Units'!D:D,B33)))</f>
        <v>0</v>
      </c>
      <c r="F33" s="64">
        <f>SUMIFS(RVN!I:I,RVN!A:A,B33,RVN!J:J,C33)</f>
        <v>0</v>
      </c>
      <c r="G33" s="64">
        <f>SUMIFS('Normalized Units'!I:I,'Normalized Units'!B:B,"Temperature kWh Normalization",'Normalized Units'!C:C,C33,'Normalized Units'!D:D,B33)</f>
        <v>0</v>
      </c>
      <c r="H33" s="64">
        <f t="shared" si="10"/>
        <v>0</v>
      </c>
      <c r="I33" s="64">
        <f>SUMIFS('Normalized Units'!I:I,'Normalized Units'!B:B,"Normalized Billing Units",'Normalized Units'!C:C,C33,'Normalized Units'!D:D,B33,'Normalized Units'!H:H,"kWh*")</f>
        <v>0</v>
      </c>
      <c r="J33" s="64">
        <f>SUMIFS(RVN!F:F,RVN!A:A,B33,RVN!J:J,C33)</f>
        <v>9184.99</v>
      </c>
      <c r="K33" s="64" cm="1">
        <f t="array" ref="K33">IF(OR(C33={"Alt Rev Program","Blue Sky","Customer Bill Credits","DSM","Income Tax Defer Adj","Irr Demand Charge Accrual","Rev Adj Property Insur","Rev Adj"}),-J33,0)</f>
        <v>0</v>
      </c>
      <c r="L33" s="64">
        <f>-SUMIFS(RVN!F:F,RVN!A:A,B33,RVN!B:B,"B",RVN!J:J,C33)</f>
        <v>-9184.99</v>
      </c>
      <c r="M33" s="64">
        <v>0</v>
      </c>
      <c r="N33" s="64">
        <f>SUMIFS('Normalized Units'!I:I,'Normalized Units'!B:B,"Temperature $ Normalization",'Normalized Units'!D:D,B33,'Normalized Units'!C:C,C33)</f>
        <v>0</v>
      </c>
      <c r="O33" s="64">
        <f t="shared" si="8"/>
        <v>0</v>
      </c>
      <c r="P33" s="64">
        <f t="shared" si="9"/>
        <v>0</v>
      </c>
      <c r="Q33" s="64">
        <f t="shared" si="3"/>
        <v>0</v>
      </c>
      <c r="R33" s="64">
        <v>0</v>
      </c>
      <c r="T33" s="184"/>
      <c r="U33" s="184"/>
      <c r="W33" s="54"/>
    </row>
    <row r="34" spans="2:23" ht="15.75" customHeight="1">
      <c r="B34" s="54" t="s">
        <v>5</v>
      </c>
      <c r="C34" s="90" t="s">
        <v>168</v>
      </c>
      <c r="D34" s="90">
        <f>SUMIFS(RVN!H:H,RVN!A:A,B34,RVN!J:J,C34)/12</f>
        <v>0</v>
      </c>
      <c r="E34" s="81" cm="1">
        <f t="array" ref="E34">IF(OR(C34={"Schedule 15","Schedule 51","Schedule 53"}),D34,SUMIFS('Normalized Units'!I:I,'Normalized Units'!H:H,"Bill",'Normalized Units'!C:C,C34,'Normalized Units'!D:D,B34)/12+SUM(SUMIFS('Normalized Units'!I:I,'Normalized Units'!H:H,{"Annual Bill","Load Size","Load Size Minimum"},'Normalized Units'!C:C,C34,'Normalized Units'!D:D,B34)))</f>
        <v>0</v>
      </c>
      <c r="F34" s="64">
        <f>SUMIFS(RVN!I:I,RVN!A:A,B34,RVN!J:J,C34)</f>
        <v>10073000</v>
      </c>
      <c r="G34" s="64">
        <f>SUMIFS('Normalized Units'!I:I,'Normalized Units'!B:B,"Temperature kWh Normalization",'Normalized Units'!C:C,C34,'Normalized Units'!D:D,B34)</f>
        <v>0</v>
      </c>
      <c r="H34" s="64">
        <f t="shared" si="10"/>
        <v>-10073000</v>
      </c>
      <c r="I34" s="64">
        <f>SUMIFS('Normalized Units'!I:I,'Normalized Units'!B:B,"Normalized Billing Units",'Normalized Units'!C:C,C34,'Normalized Units'!D:D,B34,'Normalized Units'!H:H,"kWh*")</f>
        <v>0</v>
      </c>
      <c r="J34" s="64">
        <f>SUMIFS(RVN!F:F,RVN!A:A,B34,RVN!J:J,C34)</f>
        <v>2041000</v>
      </c>
      <c r="K34" s="64" cm="1">
        <f t="array" ref="K34">IF(OR(C34={"Alt Rev Program","Blue Sky","Customer Bill Credits","DSM","Income Tax Defer Adj","Irr Demand Charge Accrual","Rev Adj Property Insur","Rev Adj"}),-J34,0)</f>
        <v>0</v>
      </c>
      <c r="L34" s="64">
        <f>-SUMIFS(RVN!F:F,RVN!A:A,B34,RVN!B:B,"B",RVN!J:J,C34)</f>
        <v>0</v>
      </c>
      <c r="M34" s="64">
        <v>0</v>
      </c>
      <c r="N34" s="64">
        <f>SUMIFS('Normalized Units'!I:I,'Normalized Units'!B:B,"Temperature $ Normalization",'Normalized Units'!D:D,B34,'Normalized Units'!C:C,C34)</f>
        <v>0</v>
      </c>
      <c r="O34" s="64">
        <f t="shared" si="8"/>
        <v>0</v>
      </c>
      <c r="P34" s="64">
        <f t="shared" si="9"/>
        <v>0</v>
      </c>
      <c r="Q34" s="64">
        <f t="shared" si="3"/>
        <v>-2041000</v>
      </c>
      <c r="R34" s="64">
        <v>0</v>
      </c>
      <c r="T34" s="184"/>
      <c r="U34" s="184"/>
      <c r="W34" s="54"/>
    </row>
    <row r="35" spans="2:23" ht="15.75" customHeight="1">
      <c r="B35" s="54" t="s">
        <v>5</v>
      </c>
      <c r="C35" s="83" t="s">
        <v>169</v>
      </c>
      <c r="D35" s="90">
        <f>SUMIFS(RVN!H:H,RVN!A:A,B35,RVN!J:J,C35)/12</f>
        <v>1190.9166666666667</v>
      </c>
      <c r="E35" s="81" cm="1">
        <f t="array" ref="E35">IF(OR(C35={"Schedule 15","Schedule 51","Schedule 53"}),D35,SUMIFS('Normalized Units'!I:I,'Normalized Units'!H:H,"Bill",'Normalized Units'!C:C,C35,'Normalized Units'!D:D,B35)/12+SUM(SUMIFS('Normalized Units'!I:I,'Normalized Units'!H:H,{"Annual Bill","Load Size","Load Size Minimum"},'Normalized Units'!C:C,C35,'Normalized Units'!D:D,B35)))</f>
        <v>1190.9166666666667</v>
      </c>
      <c r="F35" s="64">
        <f>SUMIFS(RVN!I:I,RVN!A:A,B35,RVN!J:J,C35)</f>
        <v>1841785</v>
      </c>
      <c r="G35" s="64">
        <f>SUMIFS('Normalized Units'!I:I,'Normalized Units'!B:B,"Temperature kWh Normalization",'Normalized Units'!C:C,C35,'Normalized Units'!D:D,B35)</f>
        <v>0</v>
      </c>
      <c r="H35" s="64">
        <f t="shared" si="10"/>
        <v>7355.4231953695416</v>
      </c>
      <c r="I35" s="64">
        <f>SUMIFS('Normalized Units'!I:I,'Normalized Units'!B:B,"Normalized Billing Units",'Normalized Units'!C:C,C35,'Normalized Units'!D:D,B35,'Normalized Units'!H:H,"kWh*")</f>
        <v>1849140.4231953695</v>
      </c>
      <c r="J35" s="64">
        <f>SUMIFS(RVN!F:F,RVN!A:A,B35,RVN!J:J,C35)</f>
        <v>156208.76</v>
      </c>
      <c r="K35" s="64" cm="1">
        <f t="array" ref="K35">IF(OR(C35={"Alt Rev Program","Blue Sky","Customer Bill Credits","DSM","Income Tax Defer Adj","Irr Demand Charge Accrual","Rev Adj Property Insur","Rev Adj"}),-J35,0)</f>
        <v>0</v>
      </c>
      <c r="L35" s="64">
        <f>-SUMIFS(RVN!F:F,RVN!A:A,B35,RVN!B:B,"B",RVN!J:J,C35)</f>
        <v>1217.43</v>
      </c>
      <c r="M35" s="64">
        <v>739.09446605734399</v>
      </c>
      <c r="N35" s="64">
        <f>SUMIFS('Normalized Units'!I:I,'Normalized Units'!B:B,"Temperature $ Normalization",'Normalized Units'!D:D,B35,'Normalized Units'!C:C,C35)</f>
        <v>0</v>
      </c>
      <c r="O35" s="64">
        <f t="shared" si="8"/>
        <v>-251.36724422649115</v>
      </c>
      <c r="P35" s="64">
        <f t="shared" si="9"/>
        <v>15201.342144099626</v>
      </c>
      <c r="Q35" s="64">
        <f t="shared" si="3"/>
        <v>4332.912654076581</v>
      </c>
      <c r="R35" s="64">
        <f>SUM('Sch.15,51,53,54'!G55:G57,'Sch.15,51,53,54'!G58)</f>
        <v>177448.17202000707</v>
      </c>
      <c r="T35" s="185">
        <f>T18</f>
        <v>-0.27244618012830585</v>
      </c>
      <c r="U35" s="185">
        <f>U18</f>
        <v>11.533258157439882</v>
      </c>
      <c r="W35" s="54"/>
    </row>
    <row r="36" spans="2:23" ht="15.75" customHeight="1">
      <c r="B36" s="54" t="s">
        <v>5</v>
      </c>
      <c r="C36" s="83" t="s">
        <v>229</v>
      </c>
      <c r="D36" s="90">
        <f>SUMIFS(RVN!H:H,RVN!A:A,B36,RVN!J:J,C36)/12</f>
        <v>16738.333333333332</v>
      </c>
      <c r="E36" s="81" cm="1">
        <f t="array" ref="E36">IF(OR(C36={"Schedule 15","Schedule 51","Schedule 53"}),D36,SUMIFS('Normalized Units'!I:I,'Normalized Units'!H:H,"Bill",'Normalized Units'!C:C,C36,'Normalized Units'!D:D,B36)/12+SUM(SUMIFS('Normalized Units'!I:I,'Normalized Units'!H:H,{"Annual Bill","Load Size","Load Size Minimum"},'Normalized Units'!C:C,C36,'Normalized Units'!D:D,B36)))</f>
        <v>16907.901369863011</v>
      </c>
      <c r="F36" s="64">
        <f>SUMIFS(RVN!I:I,RVN!A:A,B36,RVN!J:J,C36)</f>
        <v>509089942</v>
      </c>
      <c r="G36" s="64">
        <f>SUMIFS('Normalized Units'!I:I,'Normalized Units'!B:B,"Temperature kWh Normalization",'Normalized Units'!C:C,C36,'Normalized Units'!D:D,B36)</f>
        <v>-858022.95925769093</v>
      </c>
      <c r="H36" s="64">
        <f t="shared" ref="H36:H42" si="11">I36-G36-F36</f>
        <v>2531192.2603287101</v>
      </c>
      <c r="I36" s="64">
        <f>SUMIFS('Normalized Units'!I:I,'Normalized Units'!B:B,"Normalized Billing Units",'Normalized Units'!C:C,C36,'Normalized Units'!D:D,B36,'Normalized Units'!H:H,"kWh*")</f>
        <v>510763111.30107105</v>
      </c>
      <c r="J36" s="64">
        <f>SUMIFS(RVN!F:F,RVN!A:A,B36,RVN!J:J,C36)</f>
        <v>48599864.07</v>
      </c>
      <c r="K36" s="64" cm="1">
        <f t="array" ref="K36">IF(OR(C36={"Alt Rev Program","Blue Sky","Customer Bill Credits","DSM","Income Tax Defer Adj","Irr Demand Charge Accrual","Rev Adj Property Insur","Rev Adj"}),-J36,0)</f>
        <v>0</v>
      </c>
      <c r="L36" s="64">
        <f>-SUMIFS(RVN!F:F,RVN!A:A,B36,RVN!B:B,"B",RVN!J:J,C36)</f>
        <v>258298.80999999997</v>
      </c>
      <c r="M36" s="64">
        <v>-715075.40416127024</v>
      </c>
      <c r="N36" s="64">
        <f>SUMIFS('Normalized Units'!I:I,'Normalized Units'!B:B,"Temperature $ Normalization",'Normalized Units'!D:D,B36,'Normalized Units'!C:C,C36)</f>
        <v>-69725.541098391186</v>
      </c>
      <c r="O36" s="64">
        <f t="shared" si="8"/>
        <v>-132047.41863413798</v>
      </c>
      <c r="P36" s="64">
        <f t="shared" si="9"/>
        <v>4430864.9801826533</v>
      </c>
      <c r="Q36" s="64">
        <f t="shared" si="3"/>
        <v>1115173.3215261446</v>
      </c>
      <c r="R36" s="64">
        <f>SUM(Sch.24!S75:S88,Sch.24!S89)</f>
        <v>53487352.817814998</v>
      </c>
      <c r="T36" s="185">
        <f>T20</f>
        <v>-0.47087824579462839</v>
      </c>
      <c r="U36" s="185">
        <f>U20</f>
        <v>11.060258243301291</v>
      </c>
      <c r="W36" s="54"/>
    </row>
    <row r="37" spans="2:23" ht="15.75" customHeight="1">
      <c r="B37" s="54" t="s">
        <v>5</v>
      </c>
      <c r="C37" s="83" t="s">
        <v>279</v>
      </c>
      <c r="D37" s="90">
        <f>SUMIFS(RVN!H:H,RVN!A:A,B37,RVN!J:J,C37)/12</f>
        <v>973.75</v>
      </c>
      <c r="E37" s="81" cm="1">
        <f t="array" ref="E37">IF(OR(C37={"Schedule 15","Schedule 51","Schedule 53"}),D37,SUMIFS('Normalized Units'!I:I,'Normalized Units'!H:H,"Bill",'Normalized Units'!C:C,C37,'Normalized Units'!D:D,B37)/12+SUM(SUMIFS('Normalized Units'!I:I,'Normalized Units'!H:H,{"Annual Bill","Load Size","Load Size Minimum"},'Normalized Units'!C:C,C37,'Normalized Units'!D:D,B37)))</f>
        <v>971.03888888888889</v>
      </c>
      <c r="F37" s="64">
        <f>SUMIFS(RVN!I:I,RVN!A:A,B37,RVN!J:J,C37)</f>
        <v>836855092</v>
      </c>
      <c r="G37" s="64">
        <f>SUMIFS('Normalized Units'!I:I,'Normalized Units'!B:B,"Temperature kWh Normalization",'Normalized Units'!C:C,C37,'Normalized Units'!D:D,B37)</f>
        <v>-127447.37919797213</v>
      </c>
      <c r="H37" s="64">
        <f t="shared" si="11"/>
        <v>5492733.4147775173</v>
      </c>
      <c r="I37" s="64">
        <f>SUMIFS('Normalized Units'!I:I,'Normalized Units'!B:B,"Normalized Billing Units",'Normalized Units'!C:C,C37,'Normalized Units'!D:D,B37,'Normalized Units'!H:H,"kWh*")</f>
        <v>842220378.03557956</v>
      </c>
      <c r="J37" s="64">
        <f>SUMIFS(RVN!F:F,RVN!A:A,B37,RVN!J:J,C37)</f>
        <v>66763710.619999997</v>
      </c>
      <c r="K37" s="64" cm="1">
        <f t="array" ref="K37">IF(OR(C37={"Alt Rev Program","Blue Sky","Customer Bill Credits","DSM","Income Tax Defer Adj","Irr Demand Charge Accrual","Rev Adj Property Insur","Rev Adj"}),-J37,0)</f>
        <v>0</v>
      </c>
      <c r="L37" s="64">
        <f>-SUMIFS(RVN!F:F,RVN!A:A,B37,RVN!B:B,"B",RVN!J:J,C37)</f>
        <v>386437.13</v>
      </c>
      <c r="M37" s="64">
        <v>263226.35618000012</v>
      </c>
      <c r="N37" s="64">
        <f>SUMIFS('Normalized Units'!I:I,'Normalized Units'!B:B,"Temperature $ Normalization",'Normalized Units'!D:D,B37,'Normalized Units'!C:C,C37)</f>
        <v>-7224.5542701902741</v>
      </c>
      <c r="O37" s="64">
        <f t="shared" si="8"/>
        <v>-213305.3286352524</v>
      </c>
      <c r="P37" s="64">
        <f t="shared" si="9"/>
        <v>7325370.3451133752</v>
      </c>
      <c r="Q37" s="64">
        <f t="shared" si="3"/>
        <v>1635450.1592634888</v>
      </c>
      <c r="R37" s="64">
        <f>SUM('Sch.29,36'!S64:S75,'Sch.29,36'!S76)</f>
        <v>76153664.727651417</v>
      </c>
      <c r="T37" s="185">
        <f>T21</f>
        <v>-0.54248207335865006</v>
      </c>
      <c r="U37" s="185">
        <f>U21</f>
        <v>13.041012537537819</v>
      </c>
      <c r="W37" s="54"/>
    </row>
    <row r="38" spans="2:23" ht="15.75" customHeight="1">
      <c r="B38" s="54" t="s">
        <v>5</v>
      </c>
      <c r="C38" s="83" t="s">
        <v>172</v>
      </c>
      <c r="D38" s="90">
        <f>SUMIFS(RVN!H:H,RVN!A:A,B38,RVN!J:J,C38)/12</f>
        <v>37.5</v>
      </c>
      <c r="E38" s="81" cm="1">
        <f t="array" ref="E38">IF(OR(C38={"Schedule 15","Schedule 51","Schedule 53"}),D38,SUMIFS('Normalized Units'!I:I,'Normalized Units'!H:H,"Bill",'Normalized Units'!C:C,C38,'Normalized Units'!D:D,B38)/12+SUM(SUMIFS('Normalized Units'!I:I,'Normalized Units'!H:H,{"Annual Bill","Load Size","Load Size Minimum"},'Normalized Units'!C:C,C38,'Normalized Units'!D:D,B38)))</f>
        <v>37.444444444444443</v>
      </c>
      <c r="F38" s="64">
        <f>SUMIFS(RVN!I:I,RVN!A:A,B38,RVN!J:J,C38)</f>
        <v>174870280</v>
      </c>
      <c r="G38" s="64">
        <f>SUMIFS('Normalized Units'!I:I,'Normalized Units'!B:B,"Temperature kWh Normalization",'Normalized Units'!C:C,C38,'Normalized Units'!D:D,B38)</f>
        <v>-223992.30364433755</v>
      </c>
      <c r="H38" s="64">
        <f t="shared" si="11"/>
        <v>1374885.2425872386</v>
      </c>
      <c r="I38" s="64">
        <f>SUMIFS('Normalized Units'!I:I,'Normalized Units'!B:B,"Normalized Billing Units",'Normalized Units'!C:C,C38,'Normalized Units'!D:D,B38,'Normalized Units'!H:H,"kWh*")</f>
        <v>176021172.93894291</v>
      </c>
      <c r="J38" s="64">
        <f>SUMIFS(RVN!F:F,RVN!A:A,B38,RVN!J:J,C38)</f>
        <v>13160322.98</v>
      </c>
      <c r="K38" s="64" cm="1">
        <f t="array" ref="K38">IF(OR(C38={"Alt Rev Program","Blue Sky","Customer Bill Credits","DSM","Income Tax Defer Adj","Irr Demand Charge Accrual","Rev Adj Property Insur","Rev Adj"}),-J38,0)</f>
        <v>0</v>
      </c>
      <c r="L38" s="64">
        <f>-SUMIFS(RVN!F:F,RVN!A:A,B38,RVN!B:B,"B",RVN!J:J,C38)</f>
        <v>0</v>
      </c>
      <c r="M38" s="64">
        <v>43415.567280000134</v>
      </c>
      <c r="N38" s="64">
        <f>SUMIFS('Normalized Units'!I:I,'Normalized Units'!B:B,"Temperature $ Normalization",'Normalized Units'!D:D,B38,'Normalized Units'!C:C,C38)</f>
        <v>-12376.945380394933</v>
      </c>
      <c r="O38" s="64">
        <f t="shared" si="8"/>
        <v>-43691.087104975537</v>
      </c>
      <c r="P38" s="64">
        <f t="shared" si="9"/>
        <v>1572292.2681268963</v>
      </c>
      <c r="Q38" s="64">
        <f t="shared" si="3"/>
        <v>315797.13946319581</v>
      </c>
      <c r="R38" s="64">
        <f>SUM(Sch.48T!T52:T65,Sch.48T!T66)</f>
        <v>15035759.922384722</v>
      </c>
      <c r="T38" s="184">
        <v>-0.56778828998885622</v>
      </c>
      <c r="U38" s="184">
        <v>14.302926253500445</v>
      </c>
      <c r="W38" s="54"/>
    </row>
    <row r="39" spans="2:23" ht="15.75" customHeight="1">
      <c r="B39" s="54" t="s">
        <v>5</v>
      </c>
      <c r="C39" s="83" t="s">
        <v>171</v>
      </c>
      <c r="D39" s="90">
        <f>SUMIFS(RVN!H:H,RVN!A:A,B39,RVN!J:J,C39)/12</f>
        <v>25.5</v>
      </c>
      <c r="E39" s="81" cm="1">
        <f t="array" ref="E39">IF(OR(C39={"Schedule 15","Schedule 51","Schedule 53"}),D39,SUMIFS('Normalized Units'!I:I,'Normalized Units'!H:H,"Bill",'Normalized Units'!C:C,C39,'Normalized Units'!D:D,B39)/12+SUM(SUMIFS('Normalized Units'!I:I,'Normalized Units'!H:H,{"Annual Bill","Load Size","Load Size Minimum"},'Normalized Units'!C:C,C39,'Normalized Units'!D:D,B39)))</f>
        <v>25.575035561877666</v>
      </c>
      <c r="F39" s="64">
        <f>SUMIFS(RVN!I:I,RVN!A:A,B39,RVN!J:J,C39)</f>
        <v>312417</v>
      </c>
      <c r="G39" s="64">
        <f>SUMIFS('Normalized Units'!I:I,'Normalized Units'!B:B,"Temperature kWh Normalization",'Normalized Units'!C:C,C39,'Normalized Units'!D:D,B39)</f>
        <v>0</v>
      </c>
      <c r="H39" s="64">
        <f t="shared" si="11"/>
        <v>2066.408096320054</v>
      </c>
      <c r="I39" s="64">
        <f>SUMIFS('Normalized Units'!I:I,'Normalized Units'!B:B,"Normalized Billing Units",'Normalized Units'!C:C,C39,'Normalized Units'!D:D,B39,'Normalized Units'!H:H,"kWh*")</f>
        <v>314483.40809632005</v>
      </c>
      <c r="J39" s="64">
        <f>SUMIFS(RVN!F:F,RVN!A:A,B39,RVN!J:J,C39)</f>
        <v>17642.8</v>
      </c>
      <c r="K39" s="64" cm="1">
        <f t="array" ref="K39">IF(OR(C39={"Alt Rev Program","Blue Sky","Customer Bill Credits","DSM","Income Tax Defer Adj","Irr Demand Charge Accrual","Rev Adj Property Insur","Rev Adj"}),-J39,0)</f>
        <v>0</v>
      </c>
      <c r="L39" s="64">
        <f>-SUMIFS(RVN!F:F,RVN!A:A,B39,RVN!B:B,"B",RVN!J:J,C39)</f>
        <v>0</v>
      </c>
      <c r="M39" s="64">
        <v>341.5608699999998</v>
      </c>
      <c r="N39" s="64">
        <f>SUMIFS('Normalized Units'!I:I,'Normalized Units'!B:B,"Temperature $ Normalization",'Normalized Units'!D:D,B39,'Normalized Units'!C:C,C39)</f>
        <v>0</v>
      </c>
      <c r="O39" s="64">
        <f t="shared" si="8"/>
        <v>-37.265793662573245</v>
      </c>
      <c r="P39" s="64">
        <f t="shared" si="9"/>
        <v>2648.1799937880182</v>
      </c>
      <c r="Q39" s="64">
        <f t="shared" si="3"/>
        <v>676.17773373359205</v>
      </c>
      <c r="R39" s="64">
        <f>SUM('Sch.15,51,53,54'!G78:G81)</f>
        <v>21271.452803859036</v>
      </c>
      <c r="T39" s="184">
        <v>-0.35522095096431644</v>
      </c>
      <c r="U39" s="184">
        <v>17.6698856051459</v>
      </c>
      <c r="W39" s="54"/>
    </row>
    <row r="40" spans="2:23" ht="15.75" customHeight="1">
      <c r="B40" s="54" t="s">
        <v>5</v>
      </c>
      <c r="C40" s="92" t="s">
        <v>369</v>
      </c>
      <c r="D40" s="90">
        <f>SUMIFS(RVN!H:H,RVN!A:A,B40,RVN!J:J,C40)/12</f>
        <v>0</v>
      </c>
      <c r="E40" s="81" cm="1">
        <f t="array" ref="E40">IF(OR(C40={"Schedule 15","Schedule 51","Schedule 53"}),D40,SUMIFS('Normalized Units'!I:I,'Normalized Units'!H:H,"Bill",'Normalized Units'!C:C,C40,'Normalized Units'!D:D,B40)/12+SUM(SUMIFS('Normalized Units'!I:I,'Normalized Units'!H:H,{"Annual Bill","Load Size","Load Size Minimum"},'Normalized Units'!C:C,C40,'Normalized Units'!D:D,B40)))</f>
        <v>0</v>
      </c>
      <c r="F40" s="64">
        <f>SUMIFS(RVN!I:I,RVN!A:A,B40,RVN!J:J,C40)</f>
        <v>0</v>
      </c>
      <c r="G40" s="64">
        <f>SUMIFS('Normalized Units'!I:I,'Normalized Units'!B:B,"Temperature kWh Normalization",'Normalized Units'!C:C,C40,'Normalized Units'!D:D,B40)</f>
        <v>0</v>
      </c>
      <c r="H40" s="64">
        <f t="shared" si="11"/>
        <v>0</v>
      </c>
      <c r="I40" s="64">
        <f>SUMIFS('Normalized Units'!I:I,'Normalized Units'!B:B,"Normalized Billing Units",'Normalized Units'!C:C,C40,'Normalized Units'!D:D,B40,'Normalized Units'!H:H,"kWh*")</f>
        <v>0</v>
      </c>
      <c r="J40" s="64">
        <f>SUMIFS(RVN!F:F,RVN!A:A,B40,RVN!J:J,C40)</f>
        <v>0</v>
      </c>
      <c r="K40" s="64" cm="1">
        <f t="array" ref="K40">IF(OR(C40={"Alt Rev Program","Blue Sky","Customer Bill Credits","DSM","Income Tax Defer Adj","Irr Demand Charge Accrual","Rev Adj Property Insur","Rev Adj"}),-J40,0)</f>
        <v>0</v>
      </c>
      <c r="L40" s="64">
        <f>-SUMIFS(RVN!F:F,RVN!A:A,B40,RVN!B:B,"B",RVN!J:J,C40)</f>
        <v>0</v>
      </c>
      <c r="M40" s="64">
        <v>0</v>
      </c>
      <c r="N40" s="64">
        <f>SUMIFS('Normalized Units'!I:I,'Normalized Units'!B:B,"Temperature $ Normalization",'Normalized Units'!D:D,B40,'Normalized Units'!C:C,C40)</f>
        <v>0</v>
      </c>
      <c r="O40" s="64">
        <f t="shared" si="8"/>
        <v>0</v>
      </c>
      <c r="P40" s="64">
        <f t="shared" si="9"/>
        <v>0</v>
      </c>
      <c r="Q40" s="64">
        <f t="shared" si="3"/>
        <v>-31087</v>
      </c>
      <c r="R40" s="64">
        <f>'AutoPay&amp;Paperless'!F17</f>
        <v>-31087</v>
      </c>
      <c r="T40" s="184"/>
      <c r="U40" s="184"/>
      <c r="W40" s="54"/>
    </row>
    <row r="41" spans="2:23" ht="15.75" customHeight="1">
      <c r="B41" s="54" t="s">
        <v>5</v>
      </c>
      <c r="C41" s="92" t="s">
        <v>370</v>
      </c>
      <c r="D41" s="90">
        <f>SUMIFS(RVN!H:H,RVN!A:A,B41,RVN!J:J,C41)/12</f>
        <v>0</v>
      </c>
      <c r="E41" s="81" cm="1">
        <f t="array" ref="E41">IF(OR(C41={"Schedule 15","Schedule 51","Schedule 53"}),D41,SUMIFS('Normalized Units'!I:I,'Normalized Units'!H:H,"Bill",'Normalized Units'!C:C,C41,'Normalized Units'!D:D,B41)/12+SUM(SUMIFS('Normalized Units'!I:I,'Normalized Units'!H:H,{"Annual Bill","Load Size","Load Size Minimum"},'Normalized Units'!C:C,C41,'Normalized Units'!D:D,B41)))</f>
        <v>0</v>
      </c>
      <c r="F41" s="64">
        <f>SUMIFS(RVN!I:I,RVN!A:A,B41,RVN!J:J,C41)</f>
        <v>0</v>
      </c>
      <c r="G41" s="64">
        <f>SUMIFS('Normalized Units'!I:I,'Normalized Units'!B:B,"Temperature kWh Normalization",'Normalized Units'!C:C,C41,'Normalized Units'!D:D,B41)</f>
        <v>0</v>
      </c>
      <c r="H41" s="64">
        <f t="shared" si="11"/>
        <v>0</v>
      </c>
      <c r="I41" s="64">
        <f>SUMIFS('Normalized Units'!I:I,'Normalized Units'!B:B,"Normalized Billing Units",'Normalized Units'!C:C,C41,'Normalized Units'!D:D,B41,'Normalized Units'!H:H,"kWh*")</f>
        <v>0</v>
      </c>
      <c r="J41" s="64">
        <f>SUMIFS(RVN!F:F,RVN!A:A,B41,RVN!J:J,C41)</f>
        <v>0</v>
      </c>
      <c r="K41" s="64" cm="1">
        <f t="array" ref="K41">IF(OR(C41={"Alt Rev Program","Blue Sky","Customer Bill Credits","DSM","Income Tax Defer Adj","Irr Demand Charge Accrual","Rev Adj Property Insur","Rev Adj"}),-J41,0)</f>
        <v>0</v>
      </c>
      <c r="L41" s="64">
        <f>-SUMIFS(RVN!F:F,RVN!A:A,B41,RVN!B:B,"B",RVN!J:J,C41)</f>
        <v>0</v>
      </c>
      <c r="M41" s="64">
        <v>0</v>
      </c>
      <c r="N41" s="64">
        <f>SUMIFS('Normalized Units'!I:I,'Normalized Units'!B:B,"Temperature $ Normalization",'Normalized Units'!D:D,B41,'Normalized Units'!C:C,C41)</f>
        <v>0</v>
      </c>
      <c r="O41" s="64">
        <f t="shared" si="8"/>
        <v>0</v>
      </c>
      <c r="P41" s="64">
        <f t="shared" si="9"/>
        <v>0</v>
      </c>
      <c r="Q41" s="64">
        <f t="shared" si="3"/>
        <v>-28762</v>
      </c>
      <c r="R41" s="64">
        <f>'AutoPay&amp;Paperless'!F18</f>
        <v>-28762</v>
      </c>
      <c r="T41" s="184"/>
      <c r="U41" s="184"/>
      <c r="W41" s="54"/>
    </row>
    <row r="42" spans="2:23" ht="15.75" customHeight="1">
      <c r="B42" s="54" t="s">
        <v>5</v>
      </c>
      <c r="C42" s="59" t="s">
        <v>352</v>
      </c>
      <c r="D42" s="90">
        <f>SUMIFS(RVN!H:H,RVN!A:A,B42,RVN!J:J,C42)/12</f>
        <v>0</v>
      </c>
      <c r="E42" s="81" cm="1">
        <f t="array" ref="E42">IF(OR(C42={"Schedule 15","Schedule 51","Schedule 53"}),D42,SUMIFS('Normalized Units'!I:I,'Normalized Units'!H:H,"Bill",'Normalized Units'!C:C,C42,'Normalized Units'!D:D,B42)/12+SUM(SUMIFS('Normalized Units'!I:I,'Normalized Units'!H:H,{"Annual Bill","Load Size","Load Size Minimum"},'Normalized Units'!C:C,C42,'Normalized Units'!D:D,B42)))</f>
        <v>0</v>
      </c>
      <c r="F42" s="64">
        <f>SUMIFS(RVN!I:I,RVN!A:A,B42,RVN!J:J,C42)</f>
        <v>0</v>
      </c>
      <c r="G42" s="64">
        <f>SUMIFS('Normalized Units'!I:I,'Normalized Units'!B:B,"Temperature kWh Normalization",'Normalized Units'!C:C,C42,'Normalized Units'!D:D,B42)</f>
        <v>0</v>
      </c>
      <c r="H42" s="64">
        <f t="shared" si="11"/>
        <v>0</v>
      </c>
      <c r="I42" s="64">
        <f>SUMIFS('Normalized Units'!I:I,'Normalized Units'!B:B,"Normalized Billing Units",'Normalized Units'!C:C,C42,'Normalized Units'!D:D,B42,'Normalized Units'!H:H,"kWh*")</f>
        <v>0</v>
      </c>
      <c r="J42" s="64">
        <f>SUMIFS(RVN!F:F,RVN!A:A,B42,RVN!J:J,C42)</f>
        <v>473089.67000000004</v>
      </c>
      <c r="K42" s="64" cm="1">
        <f t="array" ref="K42">IF(OR(C42={"Alt Rev Program","Blue Sky","Customer Bill Credits","DSM","Income Tax Defer Adj","Irr Demand Charge Accrual","Rev Adj Property Insur","Rev Adj"}),-J42,0)</f>
        <v>0</v>
      </c>
      <c r="L42" s="64">
        <f>-SUMIFS(RVN!F:F,RVN!A:A,B42,RVN!B:B,"B",RVN!J:J,C42)</f>
        <v>0</v>
      </c>
      <c r="M42" s="64">
        <v>0</v>
      </c>
      <c r="N42" s="64">
        <f>SUMIFS('Normalized Units'!I:I,'Normalized Units'!B:B,"Temperature $ Normalization",'Normalized Units'!D:D,B42,'Normalized Units'!C:C,C42)</f>
        <v>0</v>
      </c>
      <c r="O42" s="64">
        <f t="shared" si="8"/>
        <v>0</v>
      </c>
      <c r="P42" s="64">
        <f t="shared" si="9"/>
        <v>0</v>
      </c>
      <c r="Q42" s="64">
        <f t="shared" si="3"/>
        <v>0</v>
      </c>
      <c r="R42" s="64">
        <f>J42</f>
        <v>473089.67000000004</v>
      </c>
      <c r="T42" s="184"/>
      <c r="U42" s="184"/>
      <c r="W42" s="54"/>
    </row>
    <row r="43" spans="2:23" ht="15.75" customHeight="1">
      <c r="B43" s="61" t="s">
        <v>5</v>
      </c>
      <c r="C43" s="62" t="s">
        <v>1</v>
      </c>
      <c r="D43" s="65">
        <f t="shared" ref="D43:R43" si="12">SUM(D27:D42)</f>
        <v>18966</v>
      </c>
      <c r="E43" s="65">
        <f t="shared" si="12"/>
        <v>19132.87640542489</v>
      </c>
      <c r="F43" s="65">
        <f t="shared" si="12"/>
        <v>1533042516</v>
      </c>
      <c r="G43" s="65">
        <f t="shared" si="12"/>
        <v>-1209462.6421000005</v>
      </c>
      <c r="H43" s="65">
        <f t="shared" si="12"/>
        <v>-664767.25101484451</v>
      </c>
      <c r="I43" s="65">
        <f t="shared" si="12"/>
        <v>1531168286.1068852</v>
      </c>
      <c r="J43" s="65">
        <f t="shared" si="12"/>
        <v>135263573.94</v>
      </c>
      <c r="K43" s="65">
        <f t="shared" si="12"/>
        <v>-4042550.0499999989</v>
      </c>
      <c r="L43" s="65">
        <f t="shared" si="12"/>
        <v>636768.38</v>
      </c>
      <c r="M43" s="65">
        <f t="shared" si="12"/>
        <v>-407352.82536521263</v>
      </c>
      <c r="N43" s="65">
        <f t="shared" si="12"/>
        <v>-89327.040748976389</v>
      </c>
      <c r="O43" s="65">
        <f t="shared" si="12"/>
        <v>-389332.46741225501</v>
      </c>
      <c r="P43" s="65">
        <f t="shared" si="12"/>
        <v>13346377.115560811</v>
      </c>
      <c r="Q43" s="65">
        <f t="shared" si="12"/>
        <v>970580.7106406393</v>
      </c>
      <c r="R43" s="65">
        <f t="shared" si="12"/>
        <v>145288737.76267499</v>
      </c>
      <c r="T43" s="184"/>
      <c r="U43" s="184"/>
      <c r="W43" s="54"/>
    </row>
    <row r="44" spans="2:23" ht="15.75" customHeight="1">
      <c r="B44" s="53"/>
      <c r="C44" s="84"/>
      <c r="D44" s="60"/>
      <c r="E44" s="88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T44" s="184"/>
      <c r="U44" s="184"/>
      <c r="W44" s="54"/>
    </row>
    <row r="45" spans="2:23" ht="15.75" customHeight="1">
      <c r="B45" s="54" t="s">
        <v>7</v>
      </c>
      <c r="C45" s="81" t="s">
        <v>270</v>
      </c>
      <c r="D45" s="90">
        <f>SUMIFS(RVN!H:H,RVN!A:A,B45,RVN!J:J,C45)/12</f>
        <v>0</v>
      </c>
      <c r="E45" s="81" cm="1">
        <f t="array" ref="E45">IF(OR(C45={"Schedule 15","Schedule 51","Schedule 53"}),D45,SUMIFS('Normalized Units'!I:I,'Normalized Units'!H:H,"Bill",'Normalized Units'!C:C,C45,'Normalized Units'!D:D,B45)/12+SUM(SUMIFS('Normalized Units'!I:I,'Normalized Units'!H:H,{"Annual Bill","Load Size","Load Size Minimum"},'Normalized Units'!C:C,C45,'Normalized Units'!D:D,B45)))</f>
        <v>0</v>
      </c>
      <c r="F45" s="64">
        <f>SUMIFS(RVN!I:I,RVN!A:A,B45,RVN!J:J,C45)</f>
        <v>0</v>
      </c>
      <c r="G45" s="64">
        <f>SUMIFS('Normalized Units'!I:I,'Normalized Units'!B:B,"Temperature kWh Normalization",'Normalized Units'!C:C,C45,'Normalized Units'!D:D,B45)</f>
        <v>0</v>
      </c>
      <c r="H45" s="64">
        <f>I45-G45-F45</f>
        <v>0</v>
      </c>
      <c r="I45" s="64">
        <f>SUMIFS('Normalized Units'!I:I,'Normalized Units'!B:B,"Normalized Billing Units",'Normalized Units'!C:C,C45,'Normalized Units'!D:D,B45,'Normalized Units'!H:H,"kWh*")</f>
        <v>0</v>
      </c>
      <c r="J45" s="64">
        <f>SUMIFS(RVN!F:F,RVN!A:A,B45,RVN!J:J,C45)</f>
        <v>17513.25</v>
      </c>
      <c r="K45" s="64" cm="1">
        <f t="array" ref="K45">IF(OR(C45={"Alt Rev Program","Blue Sky","Customer Bill Credits","DSM","Income Tax Defer Adj","Irr Demand Charge Accrual","Rev Adj Property Insur","Rev Adj"}),-J45,0)</f>
        <v>-17513.25</v>
      </c>
      <c r="L45" s="64">
        <f>-SUMIFS(RVN!F:F,RVN!A:A,B45,RVN!B:B,"B",RVN!J:J,C45)</f>
        <v>0</v>
      </c>
      <c r="M45" s="64">
        <v>0</v>
      </c>
      <c r="N45" s="64">
        <f>SUMIFS('Normalized Units'!I:I,'Normalized Units'!B:B,"Temperature $ Normalization",'Normalized Units'!D:D,B45,'Normalized Units'!C:C,C45)</f>
        <v>0</v>
      </c>
      <c r="O45" s="64">
        <f t="shared" ref="O45:O61" si="13">(J45+K45+L45+M45+N45)*T45/100*7/12</f>
        <v>0</v>
      </c>
      <c r="P45" s="64">
        <f t="shared" ref="P45:P61" si="14">(J45+K45+L45+M45+N45)*U45/100*10/12</f>
        <v>0</v>
      </c>
      <c r="Q45" s="64">
        <f t="shared" si="3"/>
        <v>0</v>
      </c>
      <c r="R45" s="64">
        <v>0</v>
      </c>
      <c r="T45" s="184"/>
      <c r="U45" s="184"/>
      <c r="W45" s="54"/>
    </row>
    <row r="46" spans="2:23" ht="15.75" customHeight="1">
      <c r="B46" s="54" t="s">
        <v>7</v>
      </c>
      <c r="C46" s="81" t="s">
        <v>145</v>
      </c>
      <c r="D46" s="90">
        <f>SUMIFS(RVN!H:H,RVN!A:A,B46,RVN!J:J,C46)/12</f>
        <v>0</v>
      </c>
      <c r="E46" s="81" cm="1">
        <f t="array" ref="E46">IF(OR(C46={"Schedule 15","Schedule 51","Schedule 53"}),D46,SUMIFS('Normalized Units'!I:I,'Normalized Units'!H:H,"Bill",'Normalized Units'!C:C,C46,'Normalized Units'!D:D,B46)/12+SUM(SUMIFS('Normalized Units'!I:I,'Normalized Units'!H:H,{"Annual Bill","Load Size","Load Size Minimum"},'Normalized Units'!C:C,C46,'Normalized Units'!D:D,B46)))</f>
        <v>0</v>
      </c>
      <c r="F46" s="64">
        <f>SUMIFS(RVN!I:I,RVN!A:A,B46,RVN!J:J,C46)</f>
        <v>0</v>
      </c>
      <c r="G46" s="64">
        <f>SUMIFS('Normalized Units'!I:I,'Normalized Units'!B:B,"Temperature kWh Normalization",'Normalized Units'!C:C,C46,'Normalized Units'!D:D,B46)</f>
        <v>0</v>
      </c>
      <c r="H46" s="64">
        <f t="shared" ref="H46:H57" si="15">I46-G46-F46</f>
        <v>0</v>
      </c>
      <c r="I46" s="64">
        <f>SUMIFS('Normalized Units'!I:I,'Normalized Units'!B:B,"Normalized Billing Units",'Normalized Units'!C:C,C46,'Normalized Units'!D:D,B46,'Normalized Units'!H:H,"kWh*")</f>
        <v>0</v>
      </c>
      <c r="J46" s="64">
        <f>SUMIFS(RVN!F:F,RVN!A:A,B46,RVN!J:J,C46)</f>
        <v>26.44</v>
      </c>
      <c r="K46" s="64" cm="1">
        <f t="array" ref="K46">IF(OR(C46={"Alt Rev Program","Blue Sky","Customer Bill Credits","DSM","Income Tax Defer Adj","Irr Demand Charge Accrual","Rev Adj Property Insur","Rev Adj"}),-J46,0)</f>
        <v>-26.44</v>
      </c>
      <c r="L46" s="64">
        <f>-SUMIFS(RVN!F:F,RVN!A:A,B46,RVN!B:B,"B",RVN!J:J,C46)</f>
        <v>0</v>
      </c>
      <c r="M46" s="64">
        <v>0</v>
      </c>
      <c r="N46" s="64">
        <f>SUMIFS('Normalized Units'!I:I,'Normalized Units'!B:B,"Temperature $ Normalization",'Normalized Units'!D:D,B46,'Normalized Units'!C:C,C46)</f>
        <v>0</v>
      </c>
      <c r="O46" s="64">
        <f t="shared" si="13"/>
        <v>0</v>
      </c>
      <c r="P46" s="64">
        <f t="shared" si="14"/>
        <v>0</v>
      </c>
      <c r="Q46" s="64">
        <f t="shared" si="3"/>
        <v>0</v>
      </c>
      <c r="R46" s="64">
        <v>0</v>
      </c>
      <c r="T46" s="184"/>
      <c r="U46" s="184"/>
      <c r="W46" s="54"/>
    </row>
    <row r="47" spans="2:23" ht="15.75" customHeight="1">
      <c r="B47" s="54" t="s">
        <v>7</v>
      </c>
      <c r="C47" s="81" t="s">
        <v>149</v>
      </c>
      <c r="D47" s="90">
        <f>SUMIFS(RVN!H:H,RVN!A:A,B47,RVN!J:J,C47)/12</f>
        <v>0</v>
      </c>
      <c r="E47" s="81" cm="1">
        <f t="array" ref="E47">IF(OR(C47={"Schedule 15","Schedule 51","Schedule 53"}),D47,SUMIFS('Normalized Units'!I:I,'Normalized Units'!H:H,"Bill",'Normalized Units'!C:C,C47,'Normalized Units'!D:D,B47)/12+SUM(SUMIFS('Normalized Units'!I:I,'Normalized Units'!H:H,{"Annual Bill","Load Size","Load Size Minimum"},'Normalized Units'!C:C,C47,'Normalized Units'!D:D,B47)))</f>
        <v>0</v>
      </c>
      <c r="F47" s="64">
        <f>SUMIFS(RVN!I:I,RVN!A:A,B47,RVN!J:J,C47)</f>
        <v>0</v>
      </c>
      <c r="G47" s="64">
        <f>SUMIFS('Normalized Units'!I:I,'Normalized Units'!B:B,"Temperature kWh Normalization",'Normalized Units'!C:C,C47,'Normalized Units'!D:D,B47)</f>
        <v>0</v>
      </c>
      <c r="H47" s="64">
        <f t="shared" si="15"/>
        <v>0</v>
      </c>
      <c r="I47" s="64">
        <f>SUMIFS('Normalized Units'!I:I,'Normalized Units'!B:B,"Normalized Billing Units",'Normalized Units'!C:C,C47,'Normalized Units'!D:D,B47,'Normalized Units'!H:H,"kWh*")</f>
        <v>0</v>
      </c>
      <c r="J47" s="64">
        <f>SUMIFS(RVN!F:F,RVN!A:A,B47,RVN!J:J,C47)</f>
        <v>2206257.17</v>
      </c>
      <c r="K47" s="64" cm="1">
        <f t="array" ref="K47">IF(OR(C47={"Alt Rev Program","Blue Sky","Customer Bill Credits","DSM","Income Tax Defer Adj","Irr Demand Charge Accrual","Rev Adj Property Insur","Rev Adj"}),-J47,0)</f>
        <v>-2206257.17</v>
      </c>
      <c r="L47" s="64">
        <f>-SUMIFS(RVN!F:F,RVN!A:A,B47,RVN!B:B,"B",RVN!J:J,C47)</f>
        <v>0</v>
      </c>
      <c r="M47" s="64">
        <v>0</v>
      </c>
      <c r="N47" s="64">
        <f>SUMIFS('Normalized Units'!I:I,'Normalized Units'!B:B,"Temperature $ Normalization",'Normalized Units'!D:D,B47,'Normalized Units'!C:C,C47)</f>
        <v>0</v>
      </c>
      <c r="O47" s="64">
        <f t="shared" si="13"/>
        <v>0</v>
      </c>
      <c r="P47" s="64">
        <f t="shared" si="14"/>
        <v>0</v>
      </c>
      <c r="Q47" s="64">
        <f t="shared" si="3"/>
        <v>0</v>
      </c>
      <c r="R47" s="64">
        <v>0</v>
      </c>
      <c r="T47" s="184"/>
      <c r="U47" s="184"/>
      <c r="W47" s="54"/>
    </row>
    <row r="48" spans="2:23" ht="15.75" customHeight="1">
      <c r="B48" s="54" t="s">
        <v>7</v>
      </c>
      <c r="C48" s="81" t="s">
        <v>273</v>
      </c>
      <c r="D48" s="90">
        <f>SUMIFS(RVN!H:H,RVN!A:A,B48,RVN!J:J,C48)/12</f>
        <v>0</v>
      </c>
      <c r="E48" s="81" cm="1">
        <f t="array" ref="E48">IF(OR(C48={"Schedule 15","Schedule 51","Schedule 53"}),D48,SUMIFS('Normalized Units'!I:I,'Normalized Units'!H:H,"Bill",'Normalized Units'!C:C,C48,'Normalized Units'!D:D,B48)/12+SUM(SUMIFS('Normalized Units'!I:I,'Normalized Units'!H:H,{"Annual Bill","Load Size","Load Size Minimum"},'Normalized Units'!C:C,C48,'Normalized Units'!D:D,B48)))</f>
        <v>0</v>
      </c>
      <c r="F48" s="64">
        <f>SUMIFS(RVN!I:I,RVN!A:A,B48,RVN!J:J,C48)</f>
        <v>0</v>
      </c>
      <c r="G48" s="64">
        <f>SUMIFS('Normalized Units'!I:I,'Normalized Units'!B:B,"Temperature kWh Normalization",'Normalized Units'!C:C,C48,'Normalized Units'!D:D,B48)</f>
        <v>0</v>
      </c>
      <c r="H48" s="64">
        <f t="shared" si="15"/>
        <v>0</v>
      </c>
      <c r="I48" s="64">
        <f>SUMIFS('Normalized Units'!I:I,'Normalized Units'!B:B,"Normalized Billing Units",'Normalized Units'!C:C,C48,'Normalized Units'!D:D,B48,'Normalized Units'!H:H,"kWh*")</f>
        <v>0</v>
      </c>
      <c r="J48" s="64">
        <f>SUMIFS(RVN!F:F,RVN!A:A,B48,RVN!J:J,C48)</f>
        <v>324830.88</v>
      </c>
      <c r="K48" s="64" cm="1">
        <f t="array" ref="K48">IF(OR(C48={"Alt Rev Program","Blue Sky","Customer Bill Credits","DSM","Income Tax Defer Adj","Irr Demand Charge Accrual","Rev Adj Property Insur","Rev Adj"}),-J48,0)</f>
        <v>-324830.88</v>
      </c>
      <c r="L48" s="64">
        <f>-SUMIFS(RVN!F:F,RVN!A:A,B48,RVN!B:B,"B",RVN!J:J,C48)</f>
        <v>0</v>
      </c>
      <c r="M48" s="64">
        <v>0</v>
      </c>
      <c r="N48" s="64">
        <f>SUMIFS('Normalized Units'!I:I,'Normalized Units'!B:B,"Temperature $ Normalization",'Normalized Units'!D:D,B48,'Normalized Units'!C:C,C48)</f>
        <v>0</v>
      </c>
      <c r="O48" s="64">
        <f t="shared" si="13"/>
        <v>0</v>
      </c>
      <c r="P48" s="64">
        <f t="shared" si="14"/>
        <v>0</v>
      </c>
      <c r="Q48" s="64">
        <f t="shared" si="3"/>
        <v>0</v>
      </c>
      <c r="R48" s="64">
        <v>0</v>
      </c>
      <c r="T48" s="184"/>
      <c r="U48" s="184"/>
      <c r="W48" s="54"/>
    </row>
    <row r="49" spans="2:23" ht="15.75" customHeight="1">
      <c r="B49" s="54" t="s">
        <v>7</v>
      </c>
      <c r="C49" s="81" t="s">
        <v>190</v>
      </c>
      <c r="D49" s="90">
        <f>SUMIFS(RVN!H:H,RVN!A:A,B49,RVN!J:J,C49)/12</f>
        <v>0</v>
      </c>
      <c r="E49" s="81" cm="1">
        <f t="array" ref="E49">IF(OR(C49={"Schedule 15","Schedule 51","Schedule 53"}),D49,SUMIFS('Normalized Units'!I:I,'Normalized Units'!H:H,"Bill",'Normalized Units'!C:C,C49,'Normalized Units'!D:D,B49)/12+SUM(SUMIFS('Normalized Units'!I:I,'Normalized Units'!H:H,{"Annual Bill","Load Size","Load Size Minimum"},'Normalized Units'!C:C,C49,'Normalized Units'!D:D,B49)))</f>
        <v>0</v>
      </c>
      <c r="F49" s="64">
        <f>SUMIFS(RVN!I:I,RVN!A:A,B49,RVN!J:J,C49)</f>
        <v>0</v>
      </c>
      <c r="G49" s="64">
        <f>SUMIFS('Normalized Units'!I:I,'Normalized Units'!B:B,"Temperature kWh Normalization",'Normalized Units'!C:C,C49,'Normalized Units'!D:D,B49)</f>
        <v>0</v>
      </c>
      <c r="H49" s="64">
        <f t="shared" si="15"/>
        <v>0</v>
      </c>
      <c r="I49" s="64">
        <f>SUMIFS('Normalized Units'!I:I,'Normalized Units'!B:B,"Normalized Billing Units",'Normalized Units'!C:C,C49,'Normalized Units'!D:D,B49,'Normalized Units'!H:H,"kWh*")</f>
        <v>0</v>
      </c>
      <c r="J49" s="64">
        <f>SUMIFS(RVN!F:F,RVN!A:A,B49,RVN!J:J,C49)</f>
        <v>20010.68</v>
      </c>
      <c r="K49" s="64" cm="1">
        <f t="array" ref="K49">IF(OR(C49={"Alt Rev Program","Blue Sky","Customer Bill Credits","DSM","Income Tax Defer Adj","Irr Demand Charge Accrual","Rev Adj Property Insur","Rev Adj"}),-J49,0)</f>
        <v>-20010.68</v>
      </c>
      <c r="L49" s="64">
        <f>-SUMIFS(RVN!F:F,RVN!A:A,B49,RVN!B:B,"B",RVN!J:J,C49)</f>
        <v>0</v>
      </c>
      <c r="M49" s="64">
        <v>0</v>
      </c>
      <c r="N49" s="64">
        <f>SUMIFS('Normalized Units'!I:I,'Normalized Units'!B:B,"Temperature $ Normalization",'Normalized Units'!D:D,B49,'Normalized Units'!C:C,C49)</f>
        <v>0</v>
      </c>
      <c r="O49" s="64">
        <f t="shared" si="13"/>
        <v>0</v>
      </c>
      <c r="P49" s="64">
        <f t="shared" si="14"/>
        <v>0</v>
      </c>
      <c r="Q49" s="64">
        <f t="shared" si="3"/>
        <v>0</v>
      </c>
      <c r="R49" s="64">
        <v>0</v>
      </c>
      <c r="T49" s="184"/>
      <c r="U49" s="184"/>
      <c r="W49" s="54"/>
    </row>
    <row r="50" spans="2:23" ht="15.75" customHeight="1">
      <c r="B50" s="54" t="s">
        <v>7</v>
      </c>
      <c r="C50" s="81" t="s">
        <v>173</v>
      </c>
      <c r="D50" s="90">
        <f>SUMIFS(RVN!H:H,RVN!A:A,B50,RVN!J:J,C50)/12</f>
        <v>0</v>
      </c>
      <c r="E50" s="81" cm="1">
        <f t="array" ref="E50">IF(OR(C50={"Schedule 15","Schedule 51","Schedule 53"}),D50,SUMIFS('Normalized Units'!I:I,'Normalized Units'!H:H,"Bill",'Normalized Units'!C:C,C50,'Normalized Units'!D:D,B50)/12+SUM(SUMIFS('Normalized Units'!I:I,'Normalized Units'!H:H,{"Annual Bill","Load Size","Load Size Minimum"},'Normalized Units'!C:C,C50,'Normalized Units'!D:D,B50)))</f>
        <v>0</v>
      </c>
      <c r="F50" s="64">
        <f>SUMIFS(RVN!I:I,RVN!A:A,B50,RVN!J:J,C50)</f>
        <v>0</v>
      </c>
      <c r="G50" s="64">
        <f>SUMIFS('Normalized Units'!I:I,'Normalized Units'!B:B,"Temperature kWh Normalization",'Normalized Units'!C:C,C50,'Normalized Units'!D:D,B50)</f>
        <v>0</v>
      </c>
      <c r="H50" s="64">
        <f t="shared" si="15"/>
        <v>0</v>
      </c>
      <c r="I50" s="64">
        <f>SUMIFS('Normalized Units'!I:I,'Normalized Units'!B:B,"Normalized Billing Units",'Normalized Units'!C:C,C50,'Normalized Units'!D:D,B50,'Normalized Units'!H:H,"kWh*")</f>
        <v>0</v>
      </c>
      <c r="J50" s="64">
        <f>SUMIFS(RVN!F:F,RVN!A:A,B50,RVN!J:J,C50)</f>
        <v>629694.75</v>
      </c>
      <c r="K50" s="64" cm="1">
        <f t="array" ref="K50">IF(OR(C50={"Alt Rev Program","Blue Sky","Customer Bill Credits","DSM","Income Tax Defer Adj","Irr Demand Charge Accrual","Rev Adj Property Insur","Rev Adj"}),-J50,0)</f>
        <v>-629694.75</v>
      </c>
      <c r="L50" s="64">
        <f>-SUMIFS(RVN!F:F,RVN!A:A,B50,RVN!B:B,"B",RVN!J:J,C50)</f>
        <v>0</v>
      </c>
      <c r="M50" s="64">
        <v>0</v>
      </c>
      <c r="N50" s="64">
        <f>SUMIFS('Normalized Units'!I:I,'Normalized Units'!B:B,"Temperature $ Normalization",'Normalized Units'!D:D,B50,'Normalized Units'!C:C,C50)</f>
        <v>0</v>
      </c>
      <c r="O50" s="64">
        <f t="shared" si="13"/>
        <v>0</v>
      </c>
      <c r="P50" s="64">
        <f t="shared" si="14"/>
        <v>0</v>
      </c>
      <c r="Q50" s="64">
        <f t="shared" si="3"/>
        <v>0</v>
      </c>
      <c r="R50" s="64">
        <v>0</v>
      </c>
      <c r="T50" s="184"/>
      <c r="U50" s="184"/>
      <c r="W50" s="54"/>
    </row>
    <row r="51" spans="2:23" ht="15.75" customHeight="1">
      <c r="B51" s="54" t="s">
        <v>7</v>
      </c>
      <c r="C51" s="81" t="s">
        <v>272</v>
      </c>
      <c r="D51" s="90">
        <f>SUMIFS(RVN!H:H,RVN!A:A,B51,RVN!J:J,C51)/12</f>
        <v>0</v>
      </c>
      <c r="E51" s="81" cm="1">
        <f t="array" ref="E51">IF(OR(C51={"Schedule 15","Schedule 51","Schedule 53"}),D51,SUMIFS('Normalized Units'!I:I,'Normalized Units'!H:H,"Bill",'Normalized Units'!C:C,C51,'Normalized Units'!D:D,B51)/12+SUM(SUMIFS('Normalized Units'!I:I,'Normalized Units'!H:H,{"Annual Bill","Load Size","Load Size Minimum"},'Normalized Units'!C:C,C51,'Normalized Units'!D:D,B51)))</f>
        <v>0</v>
      </c>
      <c r="F51" s="64">
        <f>SUMIFS(RVN!I:I,RVN!A:A,B51,RVN!J:J,C51)</f>
        <v>0</v>
      </c>
      <c r="G51" s="64">
        <f>SUMIFS('Normalized Units'!I:I,'Normalized Units'!B:B,"Temperature kWh Normalization",'Normalized Units'!C:C,C51,'Normalized Units'!D:D,B51)</f>
        <v>0</v>
      </c>
      <c r="H51" s="64">
        <f t="shared" si="15"/>
        <v>0</v>
      </c>
      <c r="I51" s="64">
        <f>SUMIFS('Normalized Units'!I:I,'Normalized Units'!B:B,"Normalized Billing Units",'Normalized Units'!C:C,C51,'Normalized Units'!D:D,B51,'Normalized Units'!H:H,"kWh*")</f>
        <v>0</v>
      </c>
      <c r="J51" s="64">
        <f>SUMIFS(RVN!F:F,RVN!A:A,B51,RVN!J:J,C51)</f>
        <v>-477.25</v>
      </c>
      <c r="K51" s="64" cm="1">
        <f t="array" ref="K51">IF(OR(C51={"Alt Rev Program","Blue Sky","Customer Bill Credits","DSM","Income Tax Defer Adj","Irr Demand Charge Accrual","Rev Adj Property Insur","Rev Adj"}),-J51,0)</f>
        <v>0</v>
      </c>
      <c r="L51" s="64">
        <f>-SUMIFS(RVN!F:F,RVN!A:A,B51,RVN!B:B,"B",RVN!J:J,C51)</f>
        <v>477.25</v>
      </c>
      <c r="M51" s="64">
        <v>0</v>
      </c>
      <c r="N51" s="64">
        <f>SUMIFS('Normalized Units'!I:I,'Normalized Units'!B:B,"Temperature $ Normalization",'Normalized Units'!D:D,B51,'Normalized Units'!C:C,C51)</f>
        <v>0</v>
      </c>
      <c r="O51" s="64">
        <f t="shared" si="13"/>
        <v>0</v>
      </c>
      <c r="P51" s="64">
        <f t="shared" si="14"/>
        <v>0</v>
      </c>
      <c r="Q51" s="64">
        <f t="shared" si="3"/>
        <v>0</v>
      </c>
      <c r="R51" s="64">
        <v>0</v>
      </c>
      <c r="T51" s="184"/>
      <c r="U51" s="184"/>
      <c r="W51" s="54"/>
    </row>
    <row r="52" spans="2:23" ht="15.75" customHeight="1">
      <c r="B52" s="54" t="s">
        <v>7</v>
      </c>
      <c r="C52" s="90" t="s">
        <v>168</v>
      </c>
      <c r="D52" s="90">
        <f>SUMIFS(RVN!H:H,RVN!A:A,B52,RVN!J:J,C52)/12</f>
        <v>0</v>
      </c>
      <c r="E52" s="81" cm="1">
        <f t="array" ref="E52">IF(OR(C52={"Schedule 15","Schedule 51","Schedule 53"}),D52,SUMIFS('Normalized Units'!I:I,'Normalized Units'!H:H,"Bill",'Normalized Units'!C:C,C52,'Normalized Units'!D:D,B52)/12+SUM(SUMIFS('Normalized Units'!I:I,'Normalized Units'!H:H,{"Annual Bill","Load Size","Load Size Minimum"},'Normalized Units'!C:C,C52,'Normalized Units'!D:D,B52)))</f>
        <v>0</v>
      </c>
      <c r="F52" s="64">
        <f>SUMIFS(RVN!I:I,RVN!A:A,B52,RVN!J:J,C52)</f>
        <v>6151000</v>
      </c>
      <c r="G52" s="64">
        <f>SUMIFS('Normalized Units'!I:I,'Normalized Units'!B:B,"Temperature kWh Normalization",'Normalized Units'!C:C,C52,'Normalized Units'!D:D,B52)</f>
        <v>0</v>
      </c>
      <c r="H52" s="64">
        <f t="shared" si="15"/>
        <v>-6151000</v>
      </c>
      <c r="I52" s="64">
        <f>SUMIFS('Normalized Units'!I:I,'Normalized Units'!B:B,"Normalized Billing Units",'Normalized Units'!C:C,C52,'Normalized Units'!D:D,B52,'Normalized Units'!H:H,"kWh*")</f>
        <v>0</v>
      </c>
      <c r="J52" s="64">
        <f>SUMIFS(RVN!F:F,RVN!A:A,B52,RVN!J:J,C52)</f>
        <v>1243000</v>
      </c>
      <c r="K52" s="64" cm="1">
        <f t="array" ref="K52">IF(OR(C52={"Alt Rev Program","Blue Sky","Customer Bill Credits","DSM","Income Tax Defer Adj","Irr Demand Charge Accrual","Rev Adj Property Insur","Rev Adj"}),-J52,0)</f>
        <v>0</v>
      </c>
      <c r="L52" s="64">
        <f>-SUMIFS(RVN!F:F,RVN!A:A,B52,RVN!B:B,"B",RVN!J:J,C52)</f>
        <v>0</v>
      </c>
      <c r="M52" s="64">
        <v>0</v>
      </c>
      <c r="N52" s="64">
        <f>SUMIFS('Normalized Units'!I:I,'Normalized Units'!B:B,"Temperature $ Normalization",'Normalized Units'!D:D,B52,'Normalized Units'!C:C,C52)</f>
        <v>0</v>
      </c>
      <c r="O52" s="64">
        <f t="shared" si="13"/>
        <v>0</v>
      </c>
      <c r="P52" s="64">
        <f t="shared" si="14"/>
        <v>0</v>
      </c>
      <c r="Q52" s="64">
        <f t="shared" si="3"/>
        <v>-1243000</v>
      </c>
      <c r="R52" s="64">
        <v>0</v>
      </c>
      <c r="T52" s="184"/>
      <c r="U52" s="184"/>
      <c r="W52" s="54"/>
    </row>
    <row r="53" spans="2:23" ht="15.75" customHeight="1">
      <c r="B53" s="54" t="s">
        <v>7</v>
      </c>
      <c r="C53" s="83" t="s">
        <v>169</v>
      </c>
      <c r="D53" s="90">
        <f>SUMIFS(RVN!H:H,RVN!A:A,B53,RVN!J:J,C53)/12</f>
        <v>50.166666666666664</v>
      </c>
      <c r="E53" s="81" cm="1">
        <f t="array" ref="E53">IF(OR(C53={"Schedule 15","Schedule 51","Schedule 53"}),D53,SUMIFS('Normalized Units'!I:I,'Normalized Units'!H:H,"Bill",'Normalized Units'!C:C,C53,'Normalized Units'!D:D,B53)/12+SUM(SUMIFS('Normalized Units'!I:I,'Normalized Units'!H:H,{"Annual Bill","Load Size","Load Size Minimum"},'Normalized Units'!C:C,C53,'Normalized Units'!D:D,B53)))</f>
        <v>50.166666666666664</v>
      </c>
      <c r="F53" s="64">
        <f>SUMIFS(RVN!I:I,RVN!A:A,B53,RVN!J:J,C53)</f>
        <v>122247</v>
      </c>
      <c r="G53" s="64">
        <f>SUMIFS('Normalized Units'!I:I,'Normalized Units'!B:B,"Temperature kWh Normalization",'Normalized Units'!C:C,C53,'Normalized Units'!D:D,B53)</f>
        <v>0</v>
      </c>
      <c r="H53" s="64">
        <f t="shared" si="15"/>
        <v>540.4500167688966</v>
      </c>
      <c r="I53" s="64">
        <f>SUMIFS('Normalized Units'!I:I,'Normalized Units'!B:B,"Normalized Billing Units",'Normalized Units'!C:C,C53,'Normalized Units'!D:D,B53,'Normalized Units'!H:H,"kWh*")</f>
        <v>122787.4500167689</v>
      </c>
      <c r="J53" s="64">
        <f>SUMIFS(RVN!F:F,RVN!A:A,B53,RVN!J:J,C53)</f>
        <v>8633.64</v>
      </c>
      <c r="K53" s="64" cm="1">
        <f t="array" ref="K53">IF(OR(C53={"Alt Rev Program","Blue Sky","Customer Bill Credits","DSM","Income Tax Defer Adj","Irr Demand Charge Accrual","Rev Adj Property Insur","Rev Adj"}),-J53,0)</f>
        <v>0</v>
      </c>
      <c r="L53" s="64">
        <f>-SUMIFS(RVN!F:F,RVN!A:A,B53,RVN!B:B,"B",RVN!J:J,C53)</f>
        <v>62.64</v>
      </c>
      <c r="M53" s="64">
        <v>44.754958124539293</v>
      </c>
      <c r="N53" s="64">
        <f>SUMIFS('Normalized Units'!I:I,'Normalized Units'!B:B,"Temperature $ Normalization",'Normalized Units'!D:D,B53,'Normalized Units'!C:C,C53)</f>
        <v>0</v>
      </c>
      <c r="O53" s="64">
        <f t="shared" si="13"/>
        <v>-13.891859244135929</v>
      </c>
      <c r="P53" s="64">
        <f t="shared" si="14"/>
        <v>840.10510612714154</v>
      </c>
      <c r="Q53" s="64">
        <f t="shared" si="3"/>
        <v>353.57499669869196</v>
      </c>
      <c r="R53" s="64">
        <f>SUM('Sch.15,51,53,54'!G59:G61,'Sch.15,51,53,54'!G62)</f>
        <v>9920.8232017062364</v>
      </c>
      <c r="T53" s="185">
        <f>T18</f>
        <v>-0.27244618012830585</v>
      </c>
      <c r="U53" s="185">
        <f>U18</f>
        <v>11.533258157439882</v>
      </c>
      <c r="W53" s="54"/>
    </row>
    <row r="54" spans="2:23" ht="15.75" customHeight="1">
      <c r="B54" s="54" t="s">
        <v>7</v>
      </c>
      <c r="C54" s="83" t="s">
        <v>229</v>
      </c>
      <c r="D54" s="90">
        <f>SUMIFS(RVN!H:H,RVN!A:A,B54,RVN!J:J,C54)/12</f>
        <v>370.58333333333331</v>
      </c>
      <c r="E54" s="81" cm="1">
        <f t="array" ref="E54">IF(OR(C54={"Schedule 15","Schedule 51","Schedule 53"}),D54,SUMIFS('Normalized Units'!I:I,'Normalized Units'!H:H,"Bill",'Normalized Units'!C:C,C54,'Normalized Units'!D:D,B54)/12+SUM(SUMIFS('Normalized Units'!I:I,'Normalized Units'!H:H,{"Annual Bill","Load Size","Load Size Minimum"},'Normalized Units'!C:C,C54,'Normalized Units'!D:D,B54)))</f>
        <v>407.7166666666667</v>
      </c>
      <c r="F54" s="64">
        <f>SUMIFS(RVN!I:I,RVN!A:A,B54,RVN!J:J,C54)</f>
        <v>15038716</v>
      </c>
      <c r="G54" s="64">
        <f>SUMIFS('Normalized Units'!I:I,'Normalized Units'!B:B,"Temperature kWh Normalization",'Normalized Units'!C:C,C54,'Normalized Units'!D:D,B54)</f>
        <v>0</v>
      </c>
      <c r="H54" s="64">
        <f t="shared" si="15"/>
        <v>173641.59661523998</v>
      </c>
      <c r="I54" s="64">
        <f>SUMIFS('Normalized Units'!I:I,'Normalized Units'!B:B,"Normalized Billing Units",'Normalized Units'!C:C,C54,'Normalized Units'!D:D,B54,'Normalized Units'!H:H,"kWh*")</f>
        <v>15212357.59661524</v>
      </c>
      <c r="J54" s="64">
        <f>SUMIFS(RVN!F:F,RVN!A:A,B54,RVN!J:J,C54)</f>
        <v>1468678.6199999999</v>
      </c>
      <c r="K54" s="64" cm="1">
        <f t="array" ref="K54">IF(OR(C54={"Alt Rev Program","Blue Sky","Customer Bill Credits","DSM","Income Tax Defer Adj","Irr Demand Charge Accrual","Rev Adj Property Insur","Rev Adj"}),-J54,0)</f>
        <v>0</v>
      </c>
      <c r="L54" s="64">
        <f>-SUMIFS(RVN!F:F,RVN!A:A,B54,RVN!B:B,"B",RVN!J:J,C54)</f>
        <v>8414.2799999999988</v>
      </c>
      <c r="M54" s="64">
        <v>-21125.865000000005</v>
      </c>
      <c r="N54" s="64">
        <f>SUMIFS('Normalized Units'!I:I,'Normalized Units'!B:B,"Temperature $ Normalization",'Normalized Units'!D:D,B54,'Normalized Units'!C:C,C54)</f>
        <v>0</v>
      </c>
      <c r="O54" s="64">
        <f t="shared" si="13"/>
        <v>-3999.2353530243704</v>
      </c>
      <c r="P54" s="64">
        <f t="shared" si="14"/>
        <v>134194.76167361406</v>
      </c>
      <c r="Q54" s="64">
        <f t="shared" si="3"/>
        <v>45932.552945439063</v>
      </c>
      <c r="R54" s="64">
        <f>SUM(Sch.24!S90:S102,Sch.24!S103)</f>
        <v>1632095.1142660286</v>
      </c>
      <c r="T54" s="185">
        <f>T20</f>
        <v>-0.47087824579462839</v>
      </c>
      <c r="U54" s="185">
        <f>U20</f>
        <v>11.060258243301291</v>
      </c>
      <c r="W54" s="54"/>
    </row>
    <row r="55" spans="2:23" ht="15.75" customHeight="1">
      <c r="B55" s="54" t="s">
        <v>7</v>
      </c>
      <c r="C55" s="83" t="s">
        <v>279</v>
      </c>
      <c r="D55" s="90">
        <f>SUMIFS(RVN!H:H,RVN!A:A,B55,RVN!J:J,C55)/12</f>
        <v>96.083333333333329</v>
      </c>
      <c r="E55" s="81" cm="1">
        <f t="array" ref="E55">IF(OR(C55={"Schedule 15","Schedule 51","Schedule 53"}),D55,SUMIFS('Normalized Units'!I:I,'Normalized Units'!H:H,"Bill",'Normalized Units'!C:C,C55,'Normalized Units'!D:D,B55)/12+SUM(SUMIFS('Normalized Units'!I:I,'Normalized Units'!H:H,{"Annual Bill","Load Size","Load Size Minimum"},'Normalized Units'!C:C,C55,'Normalized Units'!D:D,B55)))</f>
        <v>95.697222222222237</v>
      </c>
      <c r="F55" s="64">
        <f>SUMIFS(RVN!I:I,RVN!A:A,B55,RVN!J:J,C55)</f>
        <v>87611331</v>
      </c>
      <c r="G55" s="64">
        <f>SUMIFS('Normalized Units'!I:I,'Normalized Units'!B:B,"Temperature kWh Normalization",'Normalized Units'!C:C,C55,'Normalized Units'!D:D,B55)</f>
        <v>0</v>
      </c>
      <c r="H55" s="64">
        <f t="shared" si="15"/>
        <v>454418.44772994518</v>
      </c>
      <c r="I55" s="64">
        <f>SUMIFS('Normalized Units'!I:I,'Normalized Units'!B:B,"Normalized Billing Units",'Normalized Units'!C:C,C55,'Normalized Units'!D:D,B55,'Normalized Units'!H:H,"kWh*")</f>
        <v>88065749.447729945</v>
      </c>
      <c r="J55" s="64">
        <f>SUMIFS(RVN!F:F,RVN!A:A,B55,RVN!J:J,C55)</f>
        <v>7426183.9900000002</v>
      </c>
      <c r="K55" s="64" cm="1">
        <f t="array" ref="K55">IF(OR(C55={"Alt Rev Program","Blue Sky","Customer Bill Credits","DSM","Income Tax Defer Adj","Irr Demand Charge Accrual","Rev Adj Property Insur","Rev Adj"}),-J55,0)</f>
        <v>0</v>
      </c>
      <c r="L55" s="64">
        <f>-SUMIFS(RVN!F:F,RVN!A:A,B55,RVN!B:B,"B",RVN!J:J,C55)</f>
        <v>8097.89</v>
      </c>
      <c r="M55" s="64">
        <v>28906.72317000007</v>
      </c>
      <c r="N55" s="64">
        <f>SUMIFS('Normalized Units'!I:I,'Normalized Units'!B:B,"Temperature $ Normalization",'Normalized Units'!D:D,B55,'Normalized Units'!C:C,C55)</f>
        <v>0</v>
      </c>
      <c r="O55" s="64">
        <f t="shared" si="13"/>
        <v>-23617.10182600014</v>
      </c>
      <c r="P55" s="64">
        <f t="shared" si="14"/>
        <v>811062.80119957775</v>
      </c>
      <c r="Q55" s="64">
        <f t="shared" si="3"/>
        <v>140475.57102261193</v>
      </c>
      <c r="R55" s="64">
        <f>SUM('Sch.29,36'!S77:S88,'Sch.29,36'!S89)</f>
        <v>8391109.8735661898</v>
      </c>
      <c r="T55" s="185">
        <f>T21</f>
        <v>-0.54248207335865006</v>
      </c>
      <c r="U55" s="185">
        <f>U21</f>
        <v>13.041012537537819</v>
      </c>
      <c r="W55" s="54"/>
    </row>
    <row r="56" spans="2:23" ht="15.75" customHeight="1">
      <c r="B56" s="54" t="s">
        <v>7</v>
      </c>
      <c r="C56" s="83" t="s">
        <v>172</v>
      </c>
      <c r="D56" s="90">
        <f>SUMIFS(RVN!H:H,RVN!A:A,B56,RVN!J:J,C56)/12</f>
        <v>29</v>
      </c>
      <c r="E56" s="81" cm="1">
        <f t="array" ref="E56">IF(OR(C56={"Schedule 15","Schedule 51","Schedule 53"}),D56,SUMIFS('Normalized Units'!I:I,'Normalized Units'!H:H,"Bill",'Normalized Units'!C:C,C56,'Normalized Units'!D:D,B56)/12+SUM(SUMIFS('Normalized Units'!I:I,'Normalized Units'!H:H,{"Annual Bill","Load Size","Load Size Minimum"},'Normalized Units'!C:C,C56,'Normalized Units'!D:D,B56)))</f>
        <v>29</v>
      </c>
      <c r="F56" s="64">
        <f>SUMIFS(RVN!I:I,RVN!A:A,B56,RVN!J:J,C56)</f>
        <v>196837800</v>
      </c>
      <c r="G56" s="64">
        <f>SUMIFS('Normalized Units'!I:I,'Normalized Units'!B:B,"Temperature kWh Normalization",'Normalized Units'!C:C,C56,'Normalized Units'!D:D,B56)</f>
        <v>0</v>
      </c>
      <c r="H56" s="64">
        <f t="shared" si="15"/>
        <v>3837597.2055466175</v>
      </c>
      <c r="I56" s="64">
        <f>SUMIFS('Normalized Units'!I:I,'Normalized Units'!B:B,"Normalized Billing Units",'Normalized Units'!C:C,C56,'Normalized Units'!D:D,B56,'Normalized Units'!H:H,"kWh*")</f>
        <v>200675397.20554662</v>
      </c>
      <c r="J56" s="64">
        <f>SUMIFS(RVN!F:F,RVN!A:A,B56,RVN!J:J,C56)</f>
        <v>14420276</v>
      </c>
      <c r="K56" s="64" cm="1">
        <f t="array" ref="K56">IF(OR(C56={"Alt Rev Program","Blue Sky","Customer Bill Credits","DSM","Income Tax Defer Adj","Irr Demand Charge Accrual","Rev Adj Property Insur","Rev Adj"}),-J56,0)</f>
        <v>0</v>
      </c>
      <c r="L56" s="64">
        <f>-SUMIFS(RVN!F:F,RVN!A:A,B56,RVN!B:B,"B",RVN!J:J,C56)</f>
        <v>0</v>
      </c>
      <c r="M56" s="64">
        <v>1181558.06504</v>
      </c>
      <c r="N56" s="64">
        <f>SUMIFS('Normalized Units'!I:I,'Normalized Units'!B:B,"Temperature $ Normalization",'Normalized Units'!D:D,B56,'Normalized Units'!C:C,C56)</f>
        <v>0</v>
      </c>
      <c r="O56" s="64">
        <f t="shared" si="13"/>
        <v>-51674.808992793849</v>
      </c>
      <c r="P56" s="64">
        <f t="shared" si="14"/>
        <v>1859599.0170968184</v>
      </c>
      <c r="Q56" s="64">
        <f t="shared" si="3"/>
        <v>-684919.80185682815</v>
      </c>
      <c r="R56" s="64">
        <f>SUM(Sch.48T!T67:T80,Sch.48T!T81)</f>
        <v>16724838.471287197</v>
      </c>
      <c r="T56" s="185">
        <f>T38</f>
        <v>-0.56778828998885622</v>
      </c>
      <c r="U56" s="185">
        <f>U38</f>
        <v>14.302926253500445</v>
      </c>
      <c r="W56" s="54"/>
    </row>
    <row r="57" spans="2:23" ht="15.75" customHeight="1">
      <c r="B57" s="54" t="s">
        <v>7</v>
      </c>
      <c r="C57" s="83" t="s">
        <v>287</v>
      </c>
      <c r="D57" s="90">
        <f>SUMIFS(RVN!H:H,RVN!A:A,B57,RVN!J:J,C57)/12</f>
        <v>1</v>
      </c>
      <c r="E57" s="81" cm="1">
        <f t="array" ref="E57">IF(OR(C57={"Schedule 15","Schedule 51","Schedule 53"}),D57,SUMIFS('Normalized Units'!I:I,'Normalized Units'!H:H,"Bill",'Normalized Units'!C:C,C57,'Normalized Units'!D:D,B57)/12+SUM(SUMIFS('Normalized Units'!I:I,'Normalized Units'!H:H,{"Annual Bill","Load Size","Load Size Minimum"},'Normalized Units'!C:C,C57,'Normalized Units'!D:D,B57)))</f>
        <v>1</v>
      </c>
      <c r="F57" s="64">
        <f>SUMIFS(RVN!I:I,RVN!A:A,B57,RVN!J:J,C57)</f>
        <v>540230400</v>
      </c>
      <c r="G57" s="64">
        <f>SUMIFS('Normalized Units'!I:I,'Normalized Units'!B:B,"Temperature kWh Normalization",'Normalized Units'!C:C,C57,'Normalized Units'!D:D,B57)</f>
        <v>0</v>
      </c>
      <c r="H57" s="64">
        <f t="shared" si="15"/>
        <v>3938165.2885745764</v>
      </c>
      <c r="I57" s="64">
        <f>SUMIFS('Normalized Units'!I:I,'Normalized Units'!B:B,"Normalized Billing Units",'Normalized Units'!C:C,C57,'Normalized Units'!D:D,B57,'Normalized Units'!H:H,"kWh*")</f>
        <v>544168565.28857458</v>
      </c>
      <c r="J57" s="64">
        <f>SUMIFS(RVN!F:F,RVN!A:A,B57,RVN!J:J,C57)</f>
        <v>32758440.510000002</v>
      </c>
      <c r="K57" s="64" cm="1">
        <f t="array" ref="K57">IF(OR(C57={"Alt Rev Program","Blue Sky","Customer Bill Credits","DSM","Income Tax Defer Adj","Irr Demand Charge Accrual","Rev Adj Property Insur","Rev Adj"}),-J57,0)</f>
        <v>0</v>
      </c>
      <c r="L57" s="64">
        <f>-SUMIFS(RVN!F:F,RVN!A:A,B57,RVN!B:B,"B",RVN!J:J,C57)</f>
        <v>0</v>
      </c>
      <c r="M57" s="64">
        <v>-1005576.192</v>
      </c>
      <c r="N57" s="64">
        <f>SUMIFS('Normalized Units'!I:I,'Normalized Units'!B:B,"Temperature $ Normalization",'Normalized Units'!D:D,B57,'Normalized Units'!C:C,C57)</f>
        <v>0</v>
      </c>
      <c r="O57" s="64">
        <f t="shared" si="13"/>
        <v>-107795.47164483044</v>
      </c>
      <c r="P57" s="64">
        <f t="shared" si="14"/>
        <v>4655693.2855571164</v>
      </c>
      <c r="Q57" s="64">
        <f t="shared" si="3"/>
        <v>2370543.1930042766</v>
      </c>
      <c r="R57" s="64">
        <f>SUM('Sch.48T-DF'!O17:O23)</f>
        <v>38671305.324916564</v>
      </c>
      <c r="T57" s="184">
        <v>-0.58197029173418213</v>
      </c>
      <c r="U57" s="184">
        <v>17.594733774935342</v>
      </c>
      <c r="W57" s="54"/>
    </row>
    <row r="58" spans="2:23" ht="15.75" customHeight="1">
      <c r="B58" s="54" t="s">
        <v>7</v>
      </c>
      <c r="C58" s="83" t="s">
        <v>252</v>
      </c>
      <c r="D58" s="90">
        <f>SUMIFS(RVN!H:H,RVN!A:A,B58,RVN!J:J,C58)/12</f>
        <v>1</v>
      </c>
      <c r="E58" s="81" cm="1">
        <f t="array" ref="E58">IF(OR(C58={"Schedule 15","Schedule 51","Schedule 53"}),D58,SUMIFS('Normalized Units'!I:I,'Normalized Units'!H:H,"Bill",'Normalized Units'!C:C,C58,'Normalized Units'!D:D,B58)/12+SUM(SUMIFS('Normalized Units'!I:I,'Normalized Units'!H:H,{"Annual Bill","Load Size","Load Size Minimum"},'Normalized Units'!C:C,C58,'Normalized Units'!D:D,B58)))</f>
        <v>1</v>
      </c>
      <c r="F58" s="64">
        <f>SUMIFS(RVN!I:I,RVN!A:A,B58,RVN!J:J,C58)</f>
        <v>1710000</v>
      </c>
      <c r="G58" s="64">
        <f>SUMIFS('Normalized Units'!I:I,'Normalized Units'!B:B,"Temperature kWh Normalization",'Normalized Units'!C:C,C58,'Normalized Units'!D:D,B58)</f>
        <v>0</v>
      </c>
      <c r="H58" s="64">
        <f>I58-G58-F58</f>
        <v>-20775.0250976854</v>
      </c>
      <c r="I58" s="64">
        <f>SUMIFS('Normalized Units'!I:I,'Normalized Units'!B:B,"Normalized Billing Units",'Normalized Units'!C:C,C58,'Normalized Units'!D:D,B58,'Normalized Units'!H:H,"kWh*")</f>
        <v>1689224.9749023146</v>
      </c>
      <c r="J58" s="64">
        <f>SUMIFS(RVN!F:F,RVN!A:A,B58,RVN!J:J,C58)</f>
        <v>312626.78000000003</v>
      </c>
      <c r="K58" s="64" cm="1">
        <f t="array" ref="K58">IF(OR(C58={"Alt Rev Program","Blue Sky","Customer Bill Credits","DSM","Income Tax Defer Adj","Irr Demand Charge Accrual","Rev Adj Property Insur","Rev Adj"}),-J58,0)</f>
        <v>0</v>
      </c>
      <c r="L58" s="64">
        <f>-SUMIFS(RVN!F:F,RVN!A:A,B58,RVN!B:B,"B",RVN!J:J,C58)</f>
        <v>0</v>
      </c>
      <c r="M58" s="64">
        <v>408.599999999999</v>
      </c>
      <c r="N58" s="64">
        <f>SUMIFS('Normalized Units'!I:I,'Normalized Units'!B:B,"Temperature $ Normalization",'Normalized Units'!D:D,B58,'Normalized Units'!C:C,C58)</f>
        <v>0</v>
      </c>
      <c r="O58" s="64">
        <f>(J58+K58+L58+M58+N58)*T58/100*7/12</f>
        <v>-1930.9752121659758</v>
      </c>
      <c r="P58" s="64">
        <f>(J58+K58+L58+M58+N58)*U58/100*10/12</f>
        <v>18310.150675638772</v>
      </c>
      <c r="Q58" s="64">
        <f>R58-J58-K58-L58-M58-N58-O58-P58</f>
        <v>2425.5326434356066</v>
      </c>
      <c r="R58" s="64">
        <f>SUM(Sch.47T!F17:F23)</f>
        <v>331840.08810690843</v>
      </c>
      <c r="T58" s="184">
        <v>-1.0574661627244686</v>
      </c>
      <c r="U58" s="184">
        <v>7.0190726718387317</v>
      </c>
      <c r="W58" s="54"/>
    </row>
    <row r="59" spans="2:23" ht="15.75" customHeight="1">
      <c r="B59" s="54" t="s">
        <v>7</v>
      </c>
      <c r="C59" s="92" t="s">
        <v>369</v>
      </c>
      <c r="D59" s="90">
        <f>SUMIFS(RVN!H:H,RVN!A:A,B59,RVN!J:J,C59)/12</f>
        <v>0</v>
      </c>
      <c r="E59" s="81" cm="1">
        <f t="array" ref="E59">IF(OR(C59={"Schedule 15","Schedule 51","Schedule 53"}),D59,SUMIFS('Normalized Units'!I:I,'Normalized Units'!H:H,"Bill",'Normalized Units'!C:C,C59,'Normalized Units'!D:D,B59)/12+SUM(SUMIFS('Normalized Units'!I:I,'Normalized Units'!H:H,{"Annual Bill","Load Size","Load Size Minimum"},'Normalized Units'!C:C,C59,'Normalized Units'!D:D,B59)))</f>
        <v>0</v>
      </c>
      <c r="F59" s="64">
        <f>SUMIFS(RVN!I:I,RVN!A:A,B59,RVN!J:J,C59)</f>
        <v>0</v>
      </c>
      <c r="G59" s="64">
        <f>SUMIFS('Normalized Units'!I:I,'Normalized Units'!B:B,"Temperature kWh Normalization",'Normalized Units'!C:C,C59,'Normalized Units'!D:D,B59)</f>
        <v>0</v>
      </c>
      <c r="H59" s="64">
        <f t="shared" ref="H59:H61" si="16">I59-G59-F59</f>
        <v>0</v>
      </c>
      <c r="I59" s="64">
        <f>SUMIFS('Normalized Units'!I:I,'Normalized Units'!B:B,"Normalized Billing Units",'Normalized Units'!C:C,C59,'Normalized Units'!D:D,B59,'Normalized Units'!H:H,"kWh*")</f>
        <v>0</v>
      </c>
      <c r="J59" s="64">
        <f>SUMIFS(RVN!F:F,RVN!A:A,B59,RVN!J:J,C59)</f>
        <v>0</v>
      </c>
      <c r="K59" s="64" cm="1">
        <f t="array" ref="K59">IF(OR(C59={"Alt Rev Program","Blue Sky","Customer Bill Credits","DSM","Income Tax Defer Adj","Irr Demand Charge Accrual","Rev Adj Property Insur","Rev Adj"}),-J59,0)</f>
        <v>0</v>
      </c>
      <c r="L59" s="64">
        <f>-SUMIFS(RVN!F:F,RVN!A:A,B59,RVN!B:B,"B",RVN!J:J,C59)</f>
        <v>0</v>
      </c>
      <c r="M59" s="64">
        <v>0</v>
      </c>
      <c r="N59" s="64">
        <f>SUMIFS('Normalized Units'!I:I,'Normalized Units'!B:B,"Temperature $ Normalization",'Normalized Units'!D:D,B59,'Normalized Units'!C:C,C59)</f>
        <v>0</v>
      </c>
      <c r="O59" s="64">
        <f t="shared" si="13"/>
        <v>0</v>
      </c>
      <c r="P59" s="64">
        <f t="shared" si="14"/>
        <v>0</v>
      </c>
      <c r="Q59" s="64">
        <f t="shared" si="3"/>
        <v>-426</v>
      </c>
      <c r="R59" s="64">
        <f>'AutoPay&amp;Paperless'!F19</f>
        <v>-426</v>
      </c>
      <c r="T59" s="184"/>
      <c r="U59" s="184"/>
      <c r="W59" s="54"/>
    </row>
    <row r="60" spans="2:23" ht="15.75" customHeight="1">
      <c r="B60" s="54" t="s">
        <v>7</v>
      </c>
      <c r="C60" s="92" t="s">
        <v>370</v>
      </c>
      <c r="D60" s="90">
        <f>SUMIFS(RVN!H:H,RVN!A:A,B60,RVN!J:J,C60)/12</f>
        <v>0</v>
      </c>
      <c r="E60" s="81" cm="1">
        <f t="array" ref="E60">IF(OR(C60={"Schedule 15","Schedule 51","Schedule 53"}),D60,SUMIFS('Normalized Units'!I:I,'Normalized Units'!H:H,"Bill",'Normalized Units'!C:C,C60,'Normalized Units'!D:D,B60)/12+SUM(SUMIFS('Normalized Units'!I:I,'Normalized Units'!H:H,{"Annual Bill","Load Size","Load Size Minimum"},'Normalized Units'!C:C,C60,'Normalized Units'!D:D,B60)))</f>
        <v>0</v>
      </c>
      <c r="F60" s="64">
        <f>SUMIFS(RVN!I:I,RVN!A:A,B60,RVN!J:J,C60)</f>
        <v>0</v>
      </c>
      <c r="G60" s="64">
        <f>SUMIFS('Normalized Units'!I:I,'Normalized Units'!B:B,"Temperature kWh Normalization",'Normalized Units'!C:C,C60,'Normalized Units'!D:D,B60)</f>
        <v>0</v>
      </c>
      <c r="H60" s="64">
        <f t="shared" si="16"/>
        <v>0</v>
      </c>
      <c r="I60" s="64">
        <f>SUMIFS('Normalized Units'!I:I,'Normalized Units'!B:B,"Normalized Billing Units",'Normalized Units'!C:C,C60,'Normalized Units'!D:D,B60,'Normalized Units'!H:H,"kWh*")</f>
        <v>0</v>
      </c>
      <c r="J60" s="64">
        <f>SUMIFS(RVN!F:F,RVN!A:A,B60,RVN!J:J,C60)</f>
        <v>0</v>
      </c>
      <c r="K60" s="64" cm="1">
        <f t="array" ref="K60">IF(OR(C60={"Alt Rev Program","Blue Sky","Customer Bill Credits","DSM","Income Tax Defer Adj","Irr Demand Charge Accrual","Rev Adj Property Insur","Rev Adj"}),-J60,0)</f>
        <v>0</v>
      </c>
      <c r="L60" s="64">
        <f>-SUMIFS(RVN!F:F,RVN!A:A,B60,RVN!B:B,"B",RVN!J:J,C60)</f>
        <v>0</v>
      </c>
      <c r="M60" s="64">
        <v>0</v>
      </c>
      <c r="N60" s="64">
        <f>SUMIFS('Normalized Units'!I:I,'Normalized Units'!B:B,"Temperature $ Normalization",'Normalized Units'!D:D,B60,'Normalized Units'!C:C,C60)</f>
        <v>0</v>
      </c>
      <c r="O60" s="64">
        <f t="shared" si="13"/>
        <v>0</v>
      </c>
      <c r="P60" s="64">
        <f t="shared" si="14"/>
        <v>0</v>
      </c>
      <c r="Q60" s="64">
        <f t="shared" si="3"/>
        <v>-748</v>
      </c>
      <c r="R60" s="64">
        <f>'AutoPay&amp;Paperless'!F20</f>
        <v>-748</v>
      </c>
      <c r="T60" s="184"/>
      <c r="U60" s="184"/>
      <c r="W60" s="54"/>
    </row>
    <row r="61" spans="2:23" ht="15.75" customHeight="1">
      <c r="B61" s="54" t="s">
        <v>7</v>
      </c>
      <c r="C61" s="59" t="s">
        <v>352</v>
      </c>
      <c r="D61" s="90">
        <f>SUMIFS(RVN!H:H,RVN!A:A,B61,RVN!J:J,C61)/12</f>
        <v>0</v>
      </c>
      <c r="E61" s="81" cm="1">
        <f t="array" ref="E61">IF(OR(C61={"Schedule 15","Schedule 51","Schedule 53"}),D61,SUMIFS('Normalized Units'!I:I,'Normalized Units'!H:H,"Bill",'Normalized Units'!C:C,C61,'Normalized Units'!D:D,B61)/12+SUM(SUMIFS('Normalized Units'!I:I,'Normalized Units'!H:H,{"Annual Bill","Load Size","Load Size Minimum"},'Normalized Units'!C:C,C61,'Normalized Units'!D:D,B61)))</f>
        <v>0</v>
      </c>
      <c r="F61" s="64">
        <f>SUMIFS(RVN!I:I,RVN!A:A,B61,RVN!J:J,C61)</f>
        <v>0</v>
      </c>
      <c r="G61" s="64">
        <f>SUMIFS('Normalized Units'!I:I,'Normalized Units'!B:B,"Temperature kWh Normalization",'Normalized Units'!C:C,C61,'Normalized Units'!D:D,B61)</f>
        <v>0</v>
      </c>
      <c r="H61" s="64">
        <f t="shared" si="16"/>
        <v>0</v>
      </c>
      <c r="I61" s="64">
        <f>SUMIFS('Normalized Units'!I:I,'Normalized Units'!B:B,"Normalized Billing Units",'Normalized Units'!C:C,C61,'Normalized Units'!D:D,B61,'Normalized Units'!H:H,"kWh*")</f>
        <v>0</v>
      </c>
      <c r="J61" s="64">
        <f>SUMIFS(RVN!F:F,RVN!A:A,B61,RVN!J:J,C61)</f>
        <v>11579.08</v>
      </c>
      <c r="K61" s="64" cm="1">
        <f t="array" ref="K61">IF(OR(C61={"Alt Rev Program","Blue Sky","Customer Bill Credits","DSM","Income Tax Defer Adj","Irr Demand Charge Accrual","Rev Adj Property Insur","Rev Adj"}),-J61,0)</f>
        <v>0</v>
      </c>
      <c r="L61" s="64">
        <f>-SUMIFS(RVN!F:F,RVN!A:A,B61,RVN!B:B,"B",RVN!J:J,C61)</f>
        <v>0</v>
      </c>
      <c r="M61" s="64">
        <v>0</v>
      </c>
      <c r="N61" s="64">
        <f>SUMIFS('Normalized Units'!I:I,'Normalized Units'!B:B,"Temperature $ Normalization",'Normalized Units'!D:D,B61,'Normalized Units'!C:C,C61)</f>
        <v>0</v>
      </c>
      <c r="O61" s="64">
        <f t="shared" si="13"/>
        <v>0</v>
      </c>
      <c r="P61" s="64">
        <f t="shared" si="14"/>
        <v>0</v>
      </c>
      <c r="Q61" s="64">
        <f t="shared" si="3"/>
        <v>0</v>
      </c>
      <c r="R61" s="64">
        <f>J61</f>
        <v>11579.08</v>
      </c>
      <c r="T61" s="184"/>
      <c r="U61" s="184"/>
      <c r="W61" s="54"/>
    </row>
    <row r="62" spans="2:23" ht="15.75" customHeight="1">
      <c r="B62" s="61" t="s">
        <v>7</v>
      </c>
      <c r="C62" s="62" t="s">
        <v>1</v>
      </c>
      <c r="D62" s="65">
        <f t="shared" ref="D62:R62" si="17">SUM(D45:D61)</f>
        <v>547.83333333333337</v>
      </c>
      <c r="E62" s="65">
        <f t="shared" si="17"/>
        <v>584.58055555555563</v>
      </c>
      <c r="F62" s="65">
        <f t="shared" si="17"/>
        <v>847701494</v>
      </c>
      <c r="G62" s="65">
        <f t="shared" si="17"/>
        <v>0</v>
      </c>
      <c r="H62" s="65">
        <f t="shared" si="17"/>
        <v>2232587.9633854623</v>
      </c>
      <c r="I62" s="65">
        <f t="shared" si="17"/>
        <v>849934081.96338546</v>
      </c>
      <c r="J62" s="65">
        <f t="shared" si="17"/>
        <v>60847274.540000007</v>
      </c>
      <c r="K62" s="65">
        <f t="shared" si="17"/>
        <v>-3198333.17</v>
      </c>
      <c r="L62" s="65">
        <f t="shared" si="17"/>
        <v>17052.059999999998</v>
      </c>
      <c r="M62" s="65">
        <f t="shared" si="17"/>
        <v>184216.08616812449</v>
      </c>
      <c r="N62" s="65">
        <f t="shared" si="17"/>
        <v>0</v>
      </c>
      <c r="O62" s="65">
        <f t="shared" si="17"/>
        <v>-189031.48488805891</v>
      </c>
      <c r="P62" s="65">
        <f t="shared" si="17"/>
        <v>7479700.121308892</v>
      </c>
      <c r="Q62" s="65">
        <f t="shared" si="17"/>
        <v>630636.62275563355</v>
      </c>
      <c r="R62" s="65">
        <f t="shared" si="17"/>
        <v>65771514.775344588</v>
      </c>
      <c r="T62" s="184"/>
      <c r="U62" s="184"/>
      <c r="W62" s="54"/>
    </row>
    <row r="63" spans="2:23" ht="15.75" customHeight="1">
      <c r="B63" s="53"/>
      <c r="C63" s="85"/>
      <c r="D63" s="74"/>
      <c r="E63" s="89"/>
      <c r="F63" s="75"/>
      <c r="G63" s="75"/>
      <c r="H63" s="75"/>
      <c r="I63" s="75"/>
      <c r="J63" s="64"/>
      <c r="K63" s="64"/>
      <c r="L63" s="64"/>
      <c r="M63" s="64"/>
      <c r="N63" s="64"/>
      <c r="O63" s="64"/>
      <c r="P63" s="64"/>
      <c r="Q63" s="64"/>
      <c r="R63" s="64"/>
      <c r="T63" s="184"/>
      <c r="U63" s="184"/>
      <c r="W63" s="54"/>
    </row>
    <row r="64" spans="2:23" ht="15.75" customHeight="1">
      <c r="B64" s="54" t="s">
        <v>179</v>
      </c>
      <c r="C64" s="81" t="s">
        <v>270</v>
      </c>
      <c r="D64" s="90">
        <f>SUMIFS(RVN!H:H,RVN!A:A,B64,RVN!J:J,C64)/12</f>
        <v>0</v>
      </c>
      <c r="E64" s="81" cm="1">
        <f t="array" ref="E64">IF(OR(C64={"Schedule 15","Schedule 51","Schedule 53"}),D64,SUMIFS('Normalized Units'!I:I,'Normalized Units'!H:H,"Bill",'Normalized Units'!C:C,C64,'Normalized Units'!D:D,B64)/12+SUM(SUMIFS('Normalized Units'!I:I,'Normalized Units'!H:H,{"Annual Bill","Load Size","Load Size Minimum"},'Normalized Units'!C:C,C64,'Normalized Units'!D:D,B64)))</f>
        <v>0</v>
      </c>
      <c r="F64" s="64">
        <f>SUMIFS(RVN!I:I,RVN!A:A,B64,RVN!J:J,C64)</f>
        <v>0</v>
      </c>
      <c r="G64" s="64">
        <f>SUMIFS('Normalized Units'!I:I,'Normalized Units'!B:B,"Temperature kWh Normalization",'Normalized Units'!C:C,C64,'Normalized Units'!D:D,B64)</f>
        <v>0</v>
      </c>
      <c r="H64" s="64">
        <f>I64-G64-F64</f>
        <v>0</v>
      </c>
      <c r="I64" s="64">
        <f>SUMIFS('Normalized Units'!I:I,'Normalized Units'!B:B,"Normalized Billing Units",'Normalized Units'!C:C,C64,'Normalized Units'!D:D,B64,'Normalized Units'!H:H,"kWh*")</f>
        <v>0</v>
      </c>
      <c r="J64" s="64">
        <f>SUMIFS(RVN!F:F,RVN!A:A,B64,RVN!J:J,C64)</f>
        <v>26769.200000000001</v>
      </c>
      <c r="K64" s="64" cm="1">
        <f t="array" ref="K64">IF(OR(C64={"Alt Rev Program","Blue Sky","Customer Bill Credits","DSM","Income Tax Defer Adj","Irr Demand Charge Accrual","Rev Adj Property Insur","Rev Adj"}),-J64,0)</f>
        <v>-26769.200000000001</v>
      </c>
      <c r="L64" s="64">
        <f>-SUMIFS(RVN!F:F,RVN!A:A,B64,RVN!B:B,"B",RVN!J:J,C64)</f>
        <v>0</v>
      </c>
      <c r="M64" s="64">
        <v>0</v>
      </c>
      <c r="N64" s="64">
        <f>SUMIFS('Normalized Units'!I:I,'Normalized Units'!B:B,"Temperature $ Normalization",'Normalized Units'!D:D,B64,'Normalized Units'!C:C,C64)</f>
        <v>0</v>
      </c>
      <c r="O64" s="64">
        <f t="shared" ref="O64:O77" si="18">(J64+K64+L64+M64+N64)*T64/100*7/12</f>
        <v>0</v>
      </c>
      <c r="P64" s="64">
        <f t="shared" ref="P64:P77" si="19">(J64+K64+L64+M64+N64)*U64/100*10/12</f>
        <v>0</v>
      </c>
      <c r="Q64" s="64">
        <f t="shared" si="3"/>
        <v>0</v>
      </c>
      <c r="R64" s="64">
        <v>0</v>
      </c>
      <c r="T64" s="184"/>
      <c r="U64" s="184"/>
      <c r="W64" s="54"/>
    </row>
    <row r="65" spans="2:23" ht="15.75" customHeight="1">
      <c r="B65" s="54" t="s">
        <v>179</v>
      </c>
      <c r="C65" s="81" t="s">
        <v>145</v>
      </c>
      <c r="D65" s="90">
        <f>SUMIFS(RVN!H:H,RVN!A:A,B65,RVN!J:J,C65)/12</f>
        <v>0</v>
      </c>
      <c r="E65" s="81" cm="1">
        <f t="array" ref="E65">IF(OR(C65={"Schedule 15","Schedule 51","Schedule 53"}),D65,SUMIFS('Normalized Units'!I:I,'Normalized Units'!H:H,"Bill",'Normalized Units'!C:C,C65,'Normalized Units'!D:D,B65)/12+SUM(SUMIFS('Normalized Units'!I:I,'Normalized Units'!H:H,{"Annual Bill","Load Size","Load Size Minimum"},'Normalized Units'!C:C,C65,'Normalized Units'!D:D,B65)))</f>
        <v>0</v>
      </c>
      <c r="F65" s="64">
        <f>SUMIFS(RVN!I:I,RVN!A:A,B65,RVN!J:J,C65)</f>
        <v>0</v>
      </c>
      <c r="G65" s="64">
        <f>SUMIFS('Normalized Units'!I:I,'Normalized Units'!B:B,"Temperature kWh Normalization",'Normalized Units'!C:C,C65,'Normalized Units'!D:D,B65)</f>
        <v>0</v>
      </c>
      <c r="H65" s="64">
        <f t="shared" ref="H65:H74" si="20">I65-G65-F65</f>
        <v>0</v>
      </c>
      <c r="I65" s="64">
        <f>SUMIFS('Normalized Units'!I:I,'Normalized Units'!B:B,"Normalized Billing Units",'Normalized Units'!C:C,C65,'Normalized Units'!D:D,B65,'Normalized Units'!H:H,"kWh*")</f>
        <v>0</v>
      </c>
      <c r="J65" s="64">
        <f>SUMIFS(RVN!F:F,RVN!A:A,B65,RVN!J:J,C65)</f>
        <v>2235.14</v>
      </c>
      <c r="K65" s="64" cm="1">
        <f t="array" ref="K65">IF(OR(C65={"Alt Rev Program","Blue Sky","Customer Bill Credits","DSM","Income Tax Defer Adj","Irr Demand Charge Accrual","Rev Adj Property Insur","Rev Adj"}),-J65,0)</f>
        <v>-2235.14</v>
      </c>
      <c r="L65" s="64">
        <f>-SUMIFS(RVN!F:F,RVN!A:A,B65,RVN!B:B,"B",RVN!J:J,C65)</f>
        <v>0</v>
      </c>
      <c r="M65" s="64">
        <v>0</v>
      </c>
      <c r="N65" s="64">
        <f>SUMIFS('Normalized Units'!I:I,'Normalized Units'!B:B,"Temperature $ Normalization",'Normalized Units'!D:D,B65,'Normalized Units'!C:C,C65)</f>
        <v>0</v>
      </c>
      <c r="O65" s="64">
        <f t="shared" si="18"/>
        <v>0</v>
      </c>
      <c r="P65" s="64">
        <f t="shared" si="19"/>
        <v>0</v>
      </c>
      <c r="Q65" s="64">
        <f t="shared" si="3"/>
        <v>0</v>
      </c>
      <c r="R65" s="64">
        <v>0</v>
      </c>
      <c r="T65" s="184"/>
      <c r="U65" s="184"/>
      <c r="W65" s="54"/>
    </row>
    <row r="66" spans="2:23" ht="15.75" customHeight="1">
      <c r="B66" s="54" t="s">
        <v>179</v>
      </c>
      <c r="C66" s="81" t="s">
        <v>149</v>
      </c>
      <c r="D66" s="90">
        <f>SUMIFS(RVN!H:H,RVN!A:A,B66,RVN!J:J,C66)/12</f>
        <v>0</v>
      </c>
      <c r="E66" s="81" cm="1">
        <f t="array" ref="E66">IF(OR(C66={"Schedule 15","Schedule 51","Schedule 53"}),D66,SUMIFS('Normalized Units'!I:I,'Normalized Units'!H:H,"Bill",'Normalized Units'!C:C,C66,'Normalized Units'!D:D,B66)/12+SUM(SUMIFS('Normalized Units'!I:I,'Normalized Units'!H:H,{"Annual Bill","Load Size","Load Size Minimum"},'Normalized Units'!C:C,C66,'Normalized Units'!D:D,B66)))</f>
        <v>0</v>
      </c>
      <c r="F66" s="64">
        <f>SUMIFS(RVN!I:I,RVN!A:A,B66,RVN!J:J,C66)</f>
        <v>0</v>
      </c>
      <c r="G66" s="64">
        <f>SUMIFS('Normalized Units'!I:I,'Normalized Units'!B:B,"Temperature kWh Normalization",'Normalized Units'!C:C,C66,'Normalized Units'!D:D,B66)</f>
        <v>0</v>
      </c>
      <c r="H66" s="64">
        <f t="shared" si="20"/>
        <v>0</v>
      </c>
      <c r="I66" s="64">
        <f>SUMIFS('Normalized Units'!I:I,'Normalized Units'!B:B,"Normalized Billing Units",'Normalized Units'!C:C,C66,'Normalized Units'!D:D,B66,'Normalized Units'!H:H,"kWh*")</f>
        <v>0</v>
      </c>
      <c r="J66" s="64">
        <f>SUMIFS(RVN!F:F,RVN!A:A,B66,RVN!J:J,C66)</f>
        <v>536487.11</v>
      </c>
      <c r="K66" s="64" cm="1">
        <f t="array" ref="K66">IF(OR(C66={"Alt Rev Program","Blue Sky","Customer Bill Credits","DSM","Income Tax Defer Adj","Irr Demand Charge Accrual","Rev Adj Property Insur","Rev Adj"}),-J66,0)</f>
        <v>-536487.11</v>
      </c>
      <c r="L66" s="64">
        <f>-SUMIFS(RVN!F:F,RVN!A:A,B66,RVN!B:B,"B",RVN!J:J,C66)</f>
        <v>0</v>
      </c>
      <c r="M66" s="64">
        <v>0</v>
      </c>
      <c r="N66" s="64">
        <f>SUMIFS('Normalized Units'!I:I,'Normalized Units'!B:B,"Temperature $ Normalization",'Normalized Units'!D:D,B66,'Normalized Units'!C:C,C66)</f>
        <v>0</v>
      </c>
      <c r="O66" s="64">
        <f t="shared" si="18"/>
        <v>0</v>
      </c>
      <c r="P66" s="64">
        <f t="shared" si="19"/>
        <v>0</v>
      </c>
      <c r="Q66" s="64">
        <f t="shared" si="3"/>
        <v>0</v>
      </c>
      <c r="R66" s="64">
        <v>0</v>
      </c>
      <c r="T66" s="184"/>
      <c r="U66" s="184"/>
      <c r="W66" s="54"/>
    </row>
    <row r="67" spans="2:23" ht="15.75" customHeight="1">
      <c r="B67" s="54" t="s">
        <v>179</v>
      </c>
      <c r="C67" s="81" t="s">
        <v>273</v>
      </c>
      <c r="D67" s="90">
        <f>SUMIFS(RVN!H:H,RVN!A:A,B67,RVN!J:J,C67)/12</f>
        <v>0</v>
      </c>
      <c r="E67" s="81" cm="1">
        <f t="array" ref="E67">IF(OR(C67={"Schedule 15","Schedule 51","Schedule 53"}),D67,SUMIFS('Normalized Units'!I:I,'Normalized Units'!H:H,"Bill",'Normalized Units'!C:C,C67,'Normalized Units'!D:D,B67)/12+SUM(SUMIFS('Normalized Units'!I:I,'Normalized Units'!H:H,{"Annual Bill","Load Size","Load Size Minimum"},'Normalized Units'!C:C,C67,'Normalized Units'!D:D,B67)))</f>
        <v>0</v>
      </c>
      <c r="F67" s="64">
        <f>SUMIFS(RVN!I:I,RVN!A:A,B67,RVN!J:J,C67)</f>
        <v>0</v>
      </c>
      <c r="G67" s="64">
        <f>SUMIFS('Normalized Units'!I:I,'Normalized Units'!B:B,"Temperature kWh Normalization",'Normalized Units'!C:C,C67,'Normalized Units'!D:D,B67)</f>
        <v>0</v>
      </c>
      <c r="H67" s="64">
        <f t="shared" si="20"/>
        <v>0</v>
      </c>
      <c r="I67" s="64">
        <f>SUMIFS('Normalized Units'!I:I,'Normalized Units'!B:B,"Normalized Billing Units",'Normalized Units'!C:C,C67,'Normalized Units'!D:D,B67,'Normalized Units'!H:H,"kWh*")</f>
        <v>0</v>
      </c>
      <c r="J67" s="64">
        <f>SUMIFS(RVN!F:F,RVN!A:A,B67,RVN!J:J,C67)</f>
        <v>61977.3</v>
      </c>
      <c r="K67" s="64" cm="1">
        <f t="array" ref="K67">IF(OR(C67={"Alt Rev Program","Blue Sky","Customer Bill Credits","DSM","Income Tax Defer Adj","Irr Demand Charge Accrual","Rev Adj Property Insur","Rev Adj"}),-J67,0)</f>
        <v>-61977.3</v>
      </c>
      <c r="L67" s="64">
        <f>-SUMIFS(RVN!F:F,RVN!A:A,B67,RVN!B:B,"B",RVN!J:J,C67)</f>
        <v>0</v>
      </c>
      <c r="M67" s="64">
        <v>0</v>
      </c>
      <c r="N67" s="64">
        <f>SUMIFS('Normalized Units'!I:I,'Normalized Units'!B:B,"Temperature $ Normalization",'Normalized Units'!D:D,B67,'Normalized Units'!C:C,C67)</f>
        <v>0</v>
      </c>
      <c r="O67" s="64">
        <f t="shared" si="18"/>
        <v>0</v>
      </c>
      <c r="P67" s="64">
        <f t="shared" si="19"/>
        <v>0</v>
      </c>
      <c r="Q67" s="64">
        <f t="shared" si="3"/>
        <v>0</v>
      </c>
      <c r="R67" s="64">
        <v>0</v>
      </c>
      <c r="T67" s="184"/>
      <c r="U67" s="184"/>
      <c r="W67" s="54"/>
    </row>
    <row r="68" spans="2:23" ht="15.75" customHeight="1">
      <c r="B68" s="54" t="s">
        <v>179</v>
      </c>
      <c r="C68" s="81" t="s">
        <v>322</v>
      </c>
      <c r="D68" s="90">
        <f>SUMIFS(RVN!H:H,RVN!A:A,B68,RVN!J:J,C68)/12</f>
        <v>0</v>
      </c>
      <c r="E68" s="81" cm="1">
        <f t="array" ref="E68">IF(OR(C68={"Schedule 15","Schedule 51","Schedule 53"}),D68,SUMIFS('Normalized Units'!I:I,'Normalized Units'!H:H,"Bill",'Normalized Units'!C:C,C68,'Normalized Units'!D:D,B68)/12+SUM(SUMIFS('Normalized Units'!I:I,'Normalized Units'!H:H,{"Annual Bill","Load Size","Load Size Minimum"},'Normalized Units'!C:C,C68,'Normalized Units'!D:D,B68)))</f>
        <v>0</v>
      </c>
      <c r="F68" s="64">
        <f>SUMIFS(RVN!I:I,RVN!A:A,B68,RVN!J:J,C68)</f>
        <v>0</v>
      </c>
      <c r="G68" s="64">
        <f>SUMIFS('Normalized Units'!I:I,'Normalized Units'!B:B,"Temperature kWh Normalization",'Normalized Units'!C:C,C68,'Normalized Units'!D:D,B68)</f>
        <v>0</v>
      </c>
      <c r="H68" s="64">
        <f t="shared" si="20"/>
        <v>0</v>
      </c>
      <c r="I68" s="64">
        <f>SUMIFS('Normalized Units'!I:I,'Normalized Units'!B:B,"Normalized Billing Units",'Normalized Units'!C:C,C68,'Normalized Units'!D:D,B68,'Normalized Units'!H:H,"kWh*")</f>
        <v>0</v>
      </c>
      <c r="J68" s="64">
        <f>SUMIFS(RVN!F:F,RVN!A:A,B68,RVN!J:J,C68)</f>
        <v>275000</v>
      </c>
      <c r="K68" s="64" cm="1">
        <f t="array" ref="K68">IF(OR(C68={"Alt Rev Program","Blue Sky","Customer Bill Credits","DSM","Income Tax Defer Adj","Irr Demand Charge Accrual","Rev Adj Property Insur","Rev Adj"}),-J68,0)</f>
        <v>-275000</v>
      </c>
      <c r="L68" s="64">
        <f>-SUMIFS(RVN!F:F,RVN!A:A,B68,RVN!B:B,"B",RVN!J:J,C68)</f>
        <v>0</v>
      </c>
      <c r="M68" s="64">
        <v>0</v>
      </c>
      <c r="N68" s="64">
        <f>SUMIFS('Normalized Units'!I:I,'Normalized Units'!B:B,"Temperature $ Normalization",'Normalized Units'!D:D,B68,'Normalized Units'!C:C,C68)</f>
        <v>0</v>
      </c>
      <c r="O68" s="64">
        <f t="shared" si="18"/>
        <v>0</v>
      </c>
      <c r="P68" s="64">
        <f t="shared" si="19"/>
        <v>0</v>
      </c>
      <c r="Q68" s="64">
        <f t="shared" si="3"/>
        <v>0</v>
      </c>
      <c r="R68" s="64">
        <v>0</v>
      </c>
      <c r="T68" s="184"/>
      <c r="U68" s="184"/>
      <c r="W68" s="54"/>
    </row>
    <row r="69" spans="2:23" ht="15.75" customHeight="1">
      <c r="B69" s="54" t="s">
        <v>179</v>
      </c>
      <c r="C69" s="81" t="s">
        <v>190</v>
      </c>
      <c r="D69" s="90">
        <f>SUMIFS(RVN!H:H,RVN!A:A,B69,RVN!J:J,C69)/12</f>
        <v>0</v>
      </c>
      <c r="E69" s="81" cm="1">
        <f t="array" ref="E69">IF(OR(C69={"Schedule 15","Schedule 51","Schedule 53"}),D69,SUMIFS('Normalized Units'!I:I,'Normalized Units'!H:H,"Bill",'Normalized Units'!C:C,C69,'Normalized Units'!D:D,B69)/12+SUM(SUMIFS('Normalized Units'!I:I,'Normalized Units'!H:H,{"Annual Bill","Load Size","Load Size Minimum"},'Normalized Units'!C:C,C69,'Normalized Units'!D:D,B69)))</f>
        <v>0</v>
      </c>
      <c r="F69" s="64">
        <f>SUMIFS(RVN!I:I,RVN!A:A,B69,RVN!J:J,C69)</f>
        <v>0</v>
      </c>
      <c r="G69" s="64">
        <f>SUMIFS('Normalized Units'!I:I,'Normalized Units'!B:B,"Temperature kWh Normalization",'Normalized Units'!C:C,C69,'Normalized Units'!D:D,B69)</f>
        <v>0</v>
      </c>
      <c r="H69" s="64">
        <f t="shared" si="20"/>
        <v>0</v>
      </c>
      <c r="I69" s="64">
        <f>SUMIFS('Normalized Units'!I:I,'Normalized Units'!B:B,"Normalized Billing Units",'Normalized Units'!C:C,C69,'Normalized Units'!D:D,B69,'Normalized Units'!H:H,"kWh*")</f>
        <v>0</v>
      </c>
      <c r="J69" s="64">
        <f>SUMIFS(RVN!F:F,RVN!A:A,B69,RVN!J:J,C69)</f>
        <v>5509.44</v>
      </c>
      <c r="K69" s="64" cm="1">
        <f t="array" ref="K69">IF(OR(C69={"Alt Rev Program","Blue Sky","Customer Bill Credits","DSM","Income Tax Defer Adj","Irr Demand Charge Accrual","Rev Adj Property Insur","Rev Adj"}),-J69,0)</f>
        <v>-5509.44</v>
      </c>
      <c r="L69" s="64">
        <f>-SUMIFS(RVN!F:F,RVN!A:A,B69,RVN!B:B,"B",RVN!J:J,C69)</f>
        <v>0</v>
      </c>
      <c r="M69" s="64">
        <v>0</v>
      </c>
      <c r="N69" s="64">
        <f>SUMIFS('Normalized Units'!I:I,'Normalized Units'!B:B,"Temperature $ Normalization",'Normalized Units'!D:D,B69,'Normalized Units'!C:C,C69)</f>
        <v>0</v>
      </c>
      <c r="O69" s="64">
        <f t="shared" si="18"/>
        <v>0</v>
      </c>
      <c r="P69" s="64">
        <f t="shared" si="19"/>
        <v>0</v>
      </c>
      <c r="Q69" s="64">
        <f t="shared" si="3"/>
        <v>0</v>
      </c>
      <c r="R69" s="64">
        <v>0</v>
      </c>
      <c r="T69" s="184"/>
      <c r="U69" s="184"/>
      <c r="W69" s="54"/>
    </row>
    <row r="70" spans="2:23" ht="15.75" customHeight="1">
      <c r="B70" s="54" t="s">
        <v>179</v>
      </c>
      <c r="C70" s="81" t="s">
        <v>173</v>
      </c>
      <c r="D70" s="90">
        <f>SUMIFS(RVN!H:H,RVN!A:A,B70,RVN!J:J,C70)/12</f>
        <v>0</v>
      </c>
      <c r="E70" s="81" cm="1">
        <f t="array" ref="E70">IF(OR(C70={"Schedule 15","Schedule 51","Schedule 53"}),D70,SUMIFS('Normalized Units'!I:I,'Normalized Units'!H:H,"Bill",'Normalized Units'!C:C,C70,'Normalized Units'!D:D,B70)/12+SUM(SUMIFS('Normalized Units'!I:I,'Normalized Units'!H:H,{"Annual Bill","Load Size","Load Size Minimum"},'Normalized Units'!C:C,C70,'Normalized Units'!D:D,B70)))</f>
        <v>0</v>
      </c>
      <c r="F70" s="64">
        <f>SUMIFS(RVN!I:I,RVN!A:A,B70,RVN!J:J,C70)</f>
        <v>0</v>
      </c>
      <c r="G70" s="64">
        <f>SUMIFS('Normalized Units'!I:I,'Normalized Units'!B:B,"Temperature kWh Normalization",'Normalized Units'!C:C,C70,'Normalized Units'!D:D,B70)</f>
        <v>0</v>
      </c>
      <c r="H70" s="64">
        <f t="shared" si="20"/>
        <v>0</v>
      </c>
      <c r="I70" s="64">
        <f>SUMIFS('Normalized Units'!I:I,'Normalized Units'!B:B,"Normalized Billing Units",'Normalized Units'!C:C,C70,'Normalized Units'!D:D,B70,'Normalized Units'!H:H,"kWh*")</f>
        <v>0</v>
      </c>
      <c r="J70" s="64">
        <f>SUMIFS(RVN!F:F,RVN!A:A,B70,RVN!J:J,C70)</f>
        <v>549518.66</v>
      </c>
      <c r="K70" s="64" cm="1">
        <f t="array" ref="K70">IF(OR(C70={"Alt Rev Program","Blue Sky","Customer Bill Credits","DSM","Income Tax Defer Adj","Irr Demand Charge Accrual","Rev Adj Property Insur","Rev Adj"}),-J70,0)</f>
        <v>-549518.66</v>
      </c>
      <c r="L70" s="64">
        <f>-SUMIFS(RVN!F:F,RVN!A:A,B70,RVN!B:B,"B",RVN!J:J,C70)</f>
        <v>0</v>
      </c>
      <c r="M70" s="64">
        <v>0</v>
      </c>
      <c r="N70" s="64">
        <f>SUMIFS('Normalized Units'!I:I,'Normalized Units'!B:B,"Temperature $ Normalization",'Normalized Units'!D:D,B70,'Normalized Units'!C:C,C70)</f>
        <v>0</v>
      </c>
      <c r="O70" s="64">
        <f t="shared" si="18"/>
        <v>0</v>
      </c>
      <c r="P70" s="64">
        <f t="shared" si="19"/>
        <v>0</v>
      </c>
      <c r="Q70" s="64">
        <f t="shared" si="3"/>
        <v>0</v>
      </c>
      <c r="R70" s="64">
        <v>0</v>
      </c>
      <c r="T70" s="184"/>
      <c r="U70" s="184"/>
      <c r="W70" s="54"/>
    </row>
    <row r="71" spans="2:23" ht="15.75" customHeight="1">
      <c r="B71" s="54" t="s">
        <v>179</v>
      </c>
      <c r="C71" s="81" t="s">
        <v>272</v>
      </c>
      <c r="D71" s="90">
        <f>SUMIFS(RVN!H:H,RVN!A:A,B71,RVN!J:J,C71)/12</f>
        <v>0</v>
      </c>
      <c r="E71" s="81" cm="1">
        <f t="array" ref="E71">IF(OR(C71={"Schedule 15","Schedule 51","Schedule 53"}),D71,SUMIFS('Normalized Units'!I:I,'Normalized Units'!H:H,"Bill",'Normalized Units'!C:C,C71,'Normalized Units'!D:D,B71)/12+SUM(SUMIFS('Normalized Units'!I:I,'Normalized Units'!H:H,{"Annual Bill","Load Size","Load Size Minimum"},'Normalized Units'!C:C,C71,'Normalized Units'!D:D,B71)))</f>
        <v>0</v>
      </c>
      <c r="F71" s="64">
        <f>SUMIFS(RVN!I:I,RVN!A:A,B71,RVN!J:J,C71)</f>
        <v>0</v>
      </c>
      <c r="G71" s="64">
        <f>SUMIFS('Normalized Units'!I:I,'Normalized Units'!B:B,"Temperature kWh Normalization",'Normalized Units'!C:C,C71,'Normalized Units'!D:D,B71)</f>
        <v>0</v>
      </c>
      <c r="H71" s="64">
        <f t="shared" si="20"/>
        <v>0</v>
      </c>
      <c r="I71" s="64">
        <f>SUMIFS('Normalized Units'!I:I,'Normalized Units'!B:B,"Normalized Billing Units",'Normalized Units'!C:C,C71,'Normalized Units'!D:D,B71,'Normalized Units'!H:H,"kWh*")</f>
        <v>0</v>
      </c>
      <c r="J71" s="64">
        <f>SUMIFS(RVN!F:F,RVN!A:A,B71,RVN!J:J,C71)</f>
        <v>16810.400000000001</v>
      </c>
      <c r="K71" s="64" cm="1">
        <f t="array" ref="K71">IF(OR(C71={"Alt Rev Program","Blue Sky","Customer Bill Credits","DSM","Income Tax Defer Adj","Irr Demand Charge Accrual","Rev Adj Property Insur","Rev Adj"}),-J71,0)</f>
        <v>0</v>
      </c>
      <c r="L71" s="64">
        <f>-SUMIFS(RVN!F:F,RVN!A:A,B71,RVN!B:B,"B",RVN!J:J,C71)</f>
        <v>-16810.400000000001</v>
      </c>
      <c r="M71" s="64">
        <v>0</v>
      </c>
      <c r="N71" s="64">
        <f>SUMIFS('Normalized Units'!I:I,'Normalized Units'!B:B,"Temperature $ Normalization",'Normalized Units'!D:D,B71,'Normalized Units'!C:C,C71)</f>
        <v>0</v>
      </c>
      <c r="O71" s="64">
        <f t="shared" si="18"/>
        <v>0</v>
      </c>
      <c r="P71" s="64">
        <f t="shared" si="19"/>
        <v>0</v>
      </c>
      <c r="Q71" s="64">
        <f t="shared" si="3"/>
        <v>0</v>
      </c>
      <c r="R71" s="64">
        <v>0</v>
      </c>
      <c r="T71" s="184"/>
      <c r="U71" s="184"/>
      <c r="W71" s="54"/>
    </row>
    <row r="72" spans="2:23" ht="15.75" customHeight="1">
      <c r="B72" s="54" t="s">
        <v>179</v>
      </c>
      <c r="C72" s="81" t="s">
        <v>225</v>
      </c>
      <c r="D72" s="90">
        <f>SUMIFS(RVN!H:H,RVN!A:A,B72,RVN!J:J,C72)/12</f>
        <v>0</v>
      </c>
      <c r="E72" s="81" cm="1">
        <f t="array" ref="E72">IF(OR(C72={"Schedule 15","Schedule 51","Schedule 53"}),D72,SUMIFS('Normalized Units'!I:I,'Normalized Units'!H:H,"Bill",'Normalized Units'!C:C,C72,'Normalized Units'!D:D,B72)/12+SUM(SUMIFS('Normalized Units'!I:I,'Normalized Units'!H:H,{"Annual Bill","Load Size","Load Size Minimum"},'Normalized Units'!C:C,C72,'Normalized Units'!D:D,B72)))</f>
        <v>0</v>
      </c>
      <c r="F72" s="64">
        <f>SUMIFS(RVN!I:I,RVN!A:A,B72,RVN!J:J,C72)</f>
        <v>0</v>
      </c>
      <c r="G72" s="64">
        <f>SUMIFS('Normalized Units'!I:I,'Normalized Units'!B:B,"Temperature kWh Normalization",'Normalized Units'!C:C,C72,'Normalized Units'!D:D,B72)</f>
        <v>0</v>
      </c>
      <c r="H72" s="64">
        <f t="shared" si="20"/>
        <v>0</v>
      </c>
      <c r="I72" s="64">
        <f>SUMIFS('Normalized Units'!I:I,'Normalized Units'!B:B,"Normalized Billing Units",'Normalized Units'!C:C,C72,'Normalized Units'!D:D,B72,'Normalized Units'!H:H,"kWh*")</f>
        <v>0</v>
      </c>
      <c r="J72" s="64">
        <f>SUMIFS(RVN!F:F,RVN!A:A,B72,RVN!J:J,C72)</f>
        <v>83580.22</v>
      </c>
      <c r="K72" s="64" cm="1">
        <f t="array" ref="K72">IF(OR(C72={"Alt Rev Program","Blue Sky","Customer Bill Credits","DSM","Income Tax Defer Adj","Irr Demand Charge Accrual","Rev Adj Property Insur","Rev Adj"}),-J72,0)</f>
        <v>0</v>
      </c>
      <c r="L72" s="64">
        <f>-SUMIFS(RVN!F:F,RVN!A:A,B72,RVN!B:B,"B",RVN!J:J,C72)</f>
        <v>-83580.22</v>
      </c>
      <c r="M72" s="64">
        <v>0</v>
      </c>
      <c r="N72" s="64">
        <f>SUMIFS('Normalized Units'!I:I,'Normalized Units'!B:B,"Temperature $ Normalization",'Normalized Units'!D:D,B72,'Normalized Units'!C:C,C72)</f>
        <v>0</v>
      </c>
      <c r="O72" s="64">
        <f t="shared" si="18"/>
        <v>0</v>
      </c>
      <c r="P72" s="64">
        <f t="shared" si="19"/>
        <v>0</v>
      </c>
      <c r="Q72" s="64">
        <f t="shared" si="3"/>
        <v>0</v>
      </c>
      <c r="R72" s="64">
        <v>0</v>
      </c>
      <c r="T72" s="184"/>
      <c r="U72" s="184"/>
      <c r="W72" s="54"/>
    </row>
    <row r="73" spans="2:23" ht="15.75" customHeight="1">
      <c r="B73" s="54" t="s">
        <v>179</v>
      </c>
      <c r="C73" s="90" t="s">
        <v>168</v>
      </c>
      <c r="D73" s="90">
        <f>SUMIFS(RVN!H:H,RVN!A:A,B73,RVN!J:J,C73)/12</f>
        <v>0</v>
      </c>
      <c r="E73" s="81" cm="1">
        <f t="array" ref="E73">IF(OR(C73={"Schedule 15","Schedule 51","Schedule 53"}),D73,SUMIFS('Normalized Units'!I:I,'Normalized Units'!H:H,"Bill",'Normalized Units'!C:C,C73,'Normalized Units'!D:D,B73)/12+SUM(SUMIFS('Normalized Units'!I:I,'Normalized Units'!H:H,{"Annual Bill","Load Size","Load Size Minimum"},'Normalized Units'!C:C,C73,'Normalized Units'!D:D,B73)))</f>
        <v>0</v>
      </c>
      <c r="F73" s="64">
        <f>SUMIFS(RVN!I:I,RVN!A:A,B73,RVN!J:J,C73)</f>
        <v>-10577000</v>
      </c>
      <c r="G73" s="64">
        <f>SUMIFS('Normalized Units'!I:I,'Normalized Units'!B:B,"Temperature kWh Normalization",'Normalized Units'!C:C,C73,'Normalized Units'!D:D,B73)</f>
        <v>0</v>
      </c>
      <c r="H73" s="64">
        <f t="shared" si="20"/>
        <v>10577000</v>
      </c>
      <c r="I73" s="64">
        <f>SUMIFS('Normalized Units'!I:I,'Normalized Units'!B:B,"Normalized Billing Units",'Normalized Units'!C:C,C73,'Normalized Units'!D:D,B73,'Normalized Units'!H:H,"kWh*")</f>
        <v>0</v>
      </c>
      <c r="J73" s="64">
        <f>SUMIFS(RVN!F:F,RVN!A:A,B73,RVN!J:J,C73)</f>
        <v>-1729000</v>
      </c>
      <c r="K73" s="64" cm="1">
        <f t="array" ref="K73">IF(OR(C73={"Alt Rev Program","Blue Sky","Customer Bill Credits","DSM","Income Tax Defer Adj","Irr Demand Charge Accrual","Rev Adj Property Insur","Rev Adj"}),-J73,0)</f>
        <v>0</v>
      </c>
      <c r="L73" s="64">
        <f>-SUMIFS(RVN!F:F,RVN!A:A,B73,RVN!B:B,"B",RVN!J:J,C73)</f>
        <v>0</v>
      </c>
      <c r="M73" s="64">
        <v>0</v>
      </c>
      <c r="N73" s="64">
        <f>SUMIFS('Normalized Units'!I:I,'Normalized Units'!B:B,"Temperature $ Normalization",'Normalized Units'!D:D,B73,'Normalized Units'!C:C,C73)</f>
        <v>0</v>
      </c>
      <c r="O73" s="64">
        <f t="shared" si="18"/>
        <v>0</v>
      </c>
      <c r="P73" s="64">
        <f t="shared" si="19"/>
        <v>0</v>
      </c>
      <c r="Q73" s="64">
        <f t="shared" si="3"/>
        <v>1729000</v>
      </c>
      <c r="R73" s="64">
        <v>0</v>
      </c>
      <c r="T73" s="184"/>
      <c r="U73" s="184"/>
      <c r="W73" s="54"/>
    </row>
    <row r="74" spans="2:23" ht="15.75" customHeight="1">
      <c r="B74" s="54" t="s">
        <v>179</v>
      </c>
      <c r="C74" s="83" t="s">
        <v>152</v>
      </c>
      <c r="D74" s="90">
        <f>SUMIFS(RVN!H:H,RVN!A:A,B74,RVN!J:J,C74)/12</f>
        <v>5129.416666666667</v>
      </c>
      <c r="E74" s="81" cm="1">
        <f t="array" ref="E74">IF(OR(C74={"Schedule 15","Schedule 51","Schedule 53"}),D74,SUMIFS('Normalized Units'!I:I,'Normalized Units'!H:H,"Bill",'Normalized Units'!C:C,C74,'Normalized Units'!D:D,B74)/12+SUM(SUMIFS('Normalized Units'!I:I,'Normalized Units'!H:H,{"Annual Bill","Load Size","Load Size Minimum"},'Normalized Units'!C:C,C74,'Normalized Units'!D:D,B74)))</f>
        <v>5140.8634747118504</v>
      </c>
      <c r="F74" s="64">
        <f>SUMIFS(RVN!I:I,RVN!A:A,B74,RVN!J:J,C74)</f>
        <v>166117899</v>
      </c>
      <c r="G74" s="64">
        <f>SUMIFS('Normalized Units'!I:I,'Normalized Units'!B:B,"Temperature kWh Normalization",'Normalized Units'!C:C,C74,'Normalized Units'!D:D,B74)</f>
        <v>-889650.20250000036</v>
      </c>
      <c r="H74" s="64">
        <f t="shared" si="20"/>
        <v>-12386761.63176176</v>
      </c>
      <c r="I74" s="64">
        <f>SUMIFS('Normalized Units'!I:I,'Normalized Units'!B:B,"Normalized Billing Units",'Normalized Units'!C:C,C74,'Normalized Units'!D:D,B74,'Normalized Units'!H:H,"kWh*")</f>
        <v>152841487.16573825</v>
      </c>
      <c r="J74" s="64">
        <f>SUMIFS(RVN!F:F,RVN!A:A,B74,RVN!J:J,C74)</f>
        <v>13636607.049999999</v>
      </c>
      <c r="K74" s="64" cm="1">
        <f t="array" ref="K74">IF(OR(C74={"Alt Rev Program","Blue Sky","Customer Bill Credits","DSM","Income Tax Defer Adj","Irr Demand Charge Accrual","Rev Adj Property Insur","Rev Adj"}),-J74,0)</f>
        <v>0</v>
      </c>
      <c r="L74" s="64">
        <f>-SUMIFS(RVN!F:F,RVN!A:A,B74,RVN!B:B,"B",RVN!J:J,C74)</f>
        <v>746154.2</v>
      </c>
      <c r="M74" s="64">
        <v>502807.73305000004</v>
      </c>
      <c r="N74" s="64">
        <f>SUMIFS('Normalized Units'!I:I,'Normalized Units'!B:B,"Temperature $ Normalization",'Normalized Units'!D:D,B74,'Normalized Units'!C:C,C74)</f>
        <v>-70255.676491425198</v>
      </c>
      <c r="O74" s="64">
        <f t="shared" si="18"/>
        <v>-40862.198104646144</v>
      </c>
      <c r="P74" s="64">
        <f t="shared" si="19"/>
        <v>1341367.5253418365</v>
      </c>
      <c r="Q74" s="64">
        <f t="shared" ref="Q74:Q86" si="21">R74-J74-K74-L74-M74-N74-O74-P74</f>
        <v>-1640802.2334989028</v>
      </c>
      <c r="R74" s="64">
        <f>SUM(Sch.40!S33:S47)</f>
        <v>14475016.400296861</v>
      </c>
      <c r="T74" s="184">
        <v>-0.47281809716502959</v>
      </c>
      <c r="U74" s="184">
        <v>10.864711377366778</v>
      </c>
      <c r="W74" s="54"/>
    </row>
    <row r="75" spans="2:23" ht="15.75" customHeight="1">
      <c r="B75" s="54" t="s">
        <v>179</v>
      </c>
      <c r="C75" s="92" t="s">
        <v>369</v>
      </c>
      <c r="D75" s="90">
        <f>SUMIFS(RVN!H:H,RVN!A:A,B75,RVN!J:J,C75)/12</f>
        <v>0</v>
      </c>
      <c r="E75" s="81" cm="1">
        <f t="array" ref="E75">IF(OR(C75={"Schedule 15","Schedule 51","Schedule 53"}),D75,SUMIFS('Normalized Units'!I:I,'Normalized Units'!H:H,"Bill",'Normalized Units'!C:C,C75,'Normalized Units'!D:D,B75)/12+SUM(SUMIFS('Normalized Units'!I:I,'Normalized Units'!H:H,{"Annual Bill","Load Size","Load Size Minimum"},'Normalized Units'!C:C,C75,'Normalized Units'!D:D,B75)))</f>
        <v>0</v>
      </c>
      <c r="F75" s="64">
        <f>SUMIFS(RVN!I:I,RVN!A:A,B75,RVN!J:J,C75)</f>
        <v>0</v>
      </c>
      <c r="G75" s="64">
        <f>SUMIFS('Normalized Units'!I:I,'Normalized Units'!B:B,"Temperature kWh Normalization",'Normalized Units'!C:C,C75,'Normalized Units'!D:D,B75)</f>
        <v>0</v>
      </c>
      <c r="H75" s="64">
        <f t="shared" ref="H75:H77" si="22">I75-G75-F75</f>
        <v>0</v>
      </c>
      <c r="I75" s="64">
        <f>SUMIFS('Normalized Units'!I:I,'Normalized Units'!B:B,"Normalized Billing Units",'Normalized Units'!C:C,C75,'Normalized Units'!D:D,B75,'Normalized Units'!H:H,"kWh*")</f>
        <v>0</v>
      </c>
      <c r="J75" s="64">
        <f>SUMIFS(RVN!F:F,RVN!A:A,B75,RVN!J:J,C75)</f>
        <v>0</v>
      </c>
      <c r="K75" s="64" cm="1">
        <f t="array" ref="K75">IF(OR(C75={"Alt Rev Program","Blue Sky","Customer Bill Credits","DSM","Income Tax Defer Adj","Irr Demand Charge Accrual","Rev Adj Property Insur","Rev Adj"}),-J75,0)</f>
        <v>0</v>
      </c>
      <c r="L75" s="64">
        <f>-SUMIFS(RVN!F:F,RVN!A:A,B75,RVN!B:B,"B",RVN!J:J,C75)</f>
        <v>0</v>
      </c>
      <c r="M75" s="64">
        <v>0</v>
      </c>
      <c r="N75" s="64">
        <f>SUMIFS('Normalized Units'!I:I,'Normalized Units'!B:B,"Temperature $ Normalization",'Normalized Units'!D:D,B75,'Normalized Units'!C:C,C75)</f>
        <v>0</v>
      </c>
      <c r="O75" s="64">
        <f t="shared" si="18"/>
        <v>0</v>
      </c>
      <c r="P75" s="64">
        <f t="shared" si="19"/>
        <v>0</v>
      </c>
      <c r="Q75" s="64">
        <f t="shared" si="21"/>
        <v>-7254</v>
      </c>
      <c r="R75" s="64">
        <f>'AutoPay&amp;Paperless'!F21</f>
        <v>-7254</v>
      </c>
      <c r="T75" s="184"/>
      <c r="U75" s="184"/>
      <c r="W75" s="54"/>
    </row>
    <row r="76" spans="2:23" ht="15.75" customHeight="1">
      <c r="B76" s="54" t="s">
        <v>179</v>
      </c>
      <c r="C76" s="92" t="s">
        <v>370</v>
      </c>
      <c r="D76" s="90">
        <f>SUMIFS(RVN!H:H,RVN!A:A,B76,RVN!J:J,C76)/12</f>
        <v>0</v>
      </c>
      <c r="E76" s="81" cm="1">
        <f t="array" ref="E76">IF(OR(C76={"Schedule 15","Schedule 51","Schedule 53"}),D76,SUMIFS('Normalized Units'!I:I,'Normalized Units'!H:H,"Bill",'Normalized Units'!C:C,C76,'Normalized Units'!D:D,B76)/12+SUM(SUMIFS('Normalized Units'!I:I,'Normalized Units'!H:H,{"Annual Bill","Load Size","Load Size Minimum"},'Normalized Units'!C:C,C76,'Normalized Units'!D:D,B76)))</f>
        <v>0</v>
      </c>
      <c r="F76" s="64">
        <f>SUMIFS(RVN!I:I,RVN!A:A,B76,RVN!J:J,C76)</f>
        <v>0</v>
      </c>
      <c r="G76" s="64">
        <f>SUMIFS('Normalized Units'!I:I,'Normalized Units'!B:B,"Temperature kWh Normalization",'Normalized Units'!C:C,C76,'Normalized Units'!D:D,B76)</f>
        <v>0</v>
      </c>
      <c r="H76" s="64">
        <f t="shared" si="22"/>
        <v>0</v>
      </c>
      <c r="I76" s="64">
        <f>SUMIFS('Normalized Units'!I:I,'Normalized Units'!B:B,"Normalized Billing Units",'Normalized Units'!C:C,C76,'Normalized Units'!D:D,B76,'Normalized Units'!H:H,"kWh*")</f>
        <v>0</v>
      </c>
      <c r="J76" s="64">
        <f>SUMIFS(RVN!F:F,RVN!A:A,B76,RVN!J:J,C76)</f>
        <v>0</v>
      </c>
      <c r="K76" s="64" cm="1">
        <f t="array" ref="K76">IF(OR(C76={"Alt Rev Program","Blue Sky","Customer Bill Credits","DSM","Income Tax Defer Adj","Irr Demand Charge Accrual","Rev Adj Property Insur","Rev Adj"}),-J76,0)</f>
        <v>0</v>
      </c>
      <c r="L76" s="64">
        <f>-SUMIFS(RVN!F:F,RVN!A:A,B76,RVN!B:B,"B",RVN!J:J,C76)</f>
        <v>0</v>
      </c>
      <c r="M76" s="64">
        <v>0</v>
      </c>
      <c r="N76" s="64">
        <f>SUMIFS('Normalized Units'!I:I,'Normalized Units'!B:B,"Temperature $ Normalization",'Normalized Units'!D:D,B76,'Normalized Units'!C:C,C76)</f>
        <v>0</v>
      </c>
      <c r="O76" s="64">
        <f t="shared" si="18"/>
        <v>0</v>
      </c>
      <c r="P76" s="64">
        <f t="shared" si="19"/>
        <v>0</v>
      </c>
      <c r="Q76" s="64">
        <f t="shared" si="21"/>
        <v>-6384.5</v>
      </c>
      <c r="R76" s="64">
        <f>'AutoPay&amp;Paperless'!F22</f>
        <v>-6384.5</v>
      </c>
      <c r="T76" s="184"/>
      <c r="U76" s="184"/>
      <c r="W76" s="54"/>
    </row>
    <row r="77" spans="2:23" ht="15.75" customHeight="1">
      <c r="B77" s="54" t="s">
        <v>179</v>
      </c>
      <c r="C77" s="59" t="s">
        <v>352</v>
      </c>
      <c r="D77" s="90">
        <f>SUMIFS(RVN!H:H,RVN!A:A,B77,RVN!J:J,C77)/12</f>
        <v>0</v>
      </c>
      <c r="E77" s="81" cm="1">
        <f t="array" ref="E77">IF(OR(C77={"Schedule 15","Schedule 51","Schedule 53"}),D77,SUMIFS('Normalized Units'!I:I,'Normalized Units'!H:H,"Bill",'Normalized Units'!C:C,C77,'Normalized Units'!D:D,B77)/12+SUM(SUMIFS('Normalized Units'!I:I,'Normalized Units'!H:H,{"Annual Bill","Load Size","Load Size Minimum"},'Normalized Units'!C:C,C77,'Normalized Units'!D:D,B77)))</f>
        <v>0</v>
      </c>
      <c r="F77" s="64">
        <f>SUMIFS(RVN!I:I,RVN!A:A,B77,RVN!J:J,C77)</f>
        <v>0</v>
      </c>
      <c r="G77" s="64">
        <f>SUMIFS('Normalized Units'!I:I,'Normalized Units'!B:B,"Temperature kWh Normalization",'Normalized Units'!C:C,C77,'Normalized Units'!D:D,B77)</f>
        <v>0</v>
      </c>
      <c r="H77" s="64">
        <f t="shared" si="22"/>
        <v>0</v>
      </c>
      <c r="I77" s="64">
        <f>SUMIFS('Normalized Units'!I:I,'Normalized Units'!B:B,"Normalized Billing Units",'Normalized Units'!C:C,C77,'Normalized Units'!D:D,B77,'Normalized Units'!H:H,"kWh*")</f>
        <v>0</v>
      </c>
      <c r="J77" s="64">
        <f>SUMIFS(RVN!F:F,RVN!A:A,B77,RVN!J:J,C77)</f>
        <v>140318.37</v>
      </c>
      <c r="K77" s="64" cm="1">
        <f t="array" ref="K77">IF(OR(C77={"Alt Rev Program","Blue Sky","Customer Bill Credits","DSM","Income Tax Defer Adj","Irr Demand Charge Accrual","Rev Adj Property Insur","Rev Adj"}),-J77,0)</f>
        <v>0</v>
      </c>
      <c r="L77" s="64">
        <f>-SUMIFS(RVN!F:F,RVN!A:A,B77,RVN!B:B,"B",RVN!J:J,C77)</f>
        <v>0</v>
      </c>
      <c r="M77" s="64">
        <v>0</v>
      </c>
      <c r="N77" s="64">
        <f>SUMIFS('Normalized Units'!I:I,'Normalized Units'!B:B,"Temperature $ Normalization",'Normalized Units'!D:D,B77,'Normalized Units'!C:C,C77)</f>
        <v>0</v>
      </c>
      <c r="O77" s="64">
        <f t="shared" si="18"/>
        <v>0</v>
      </c>
      <c r="P77" s="64">
        <f t="shared" si="19"/>
        <v>0</v>
      </c>
      <c r="Q77" s="64">
        <f t="shared" si="21"/>
        <v>0</v>
      </c>
      <c r="R77" s="64">
        <f>J77</f>
        <v>140318.37</v>
      </c>
      <c r="T77" s="184"/>
      <c r="U77" s="184"/>
      <c r="W77" s="54"/>
    </row>
    <row r="78" spans="2:23" ht="15.75" customHeight="1">
      <c r="B78" s="61" t="s">
        <v>179</v>
      </c>
      <c r="C78" s="62" t="s">
        <v>1</v>
      </c>
      <c r="D78" s="65">
        <f t="shared" ref="D78:R78" si="23">SUM(D64:D77)</f>
        <v>5129.416666666667</v>
      </c>
      <c r="E78" s="65">
        <f t="shared" si="23"/>
        <v>5140.8634747118504</v>
      </c>
      <c r="F78" s="65">
        <f t="shared" si="23"/>
        <v>155540899</v>
      </c>
      <c r="G78" s="65">
        <f t="shared" si="23"/>
        <v>-889650.20250000036</v>
      </c>
      <c r="H78" s="65">
        <f t="shared" si="23"/>
        <v>-1809761.6317617595</v>
      </c>
      <c r="I78" s="65">
        <f t="shared" si="23"/>
        <v>152841487.16573825</v>
      </c>
      <c r="J78" s="65">
        <f t="shared" si="23"/>
        <v>13605812.889999999</v>
      </c>
      <c r="K78" s="65">
        <f t="shared" si="23"/>
        <v>-1457496.85</v>
      </c>
      <c r="L78" s="65">
        <f t="shared" si="23"/>
        <v>645763.57999999996</v>
      </c>
      <c r="M78" s="65">
        <f t="shared" si="23"/>
        <v>502807.73305000004</v>
      </c>
      <c r="N78" s="65">
        <f t="shared" si="23"/>
        <v>-70255.676491425198</v>
      </c>
      <c r="O78" s="65">
        <f t="shared" si="23"/>
        <v>-40862.198104646144</v>
      </c>
      <c r="P78" s="65">
        <f t="shared" si="23"/>
        <v>1341367.5253418365</v>
      </c>
      <c r="Q78" s="65">
        <f t="shared" si="23"/>
        <v>74559.266501097241</v>
      </c>
      <c r="R78" s="65">
        <f t="shared" si="23"/>
        <v>14601696.27029686</v>
      </c>
      <c r="T78" s="184"/>
      <c r="U78" s="184"/>
      <c r="W78" s="54"/>
    </row>
    <row r="79" spans="2:23" ht="15.75" customHeight="1">
      <c r="B79" s="54"/>
      <c r="C79" s="84"/>
      <c r="D79" s="60"/>
      <c r="E79" s="88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T79" s="184"/>
      <c r="U79" s="184"/>
      <c r="W79" s="54"/>
    </row>
    <row r="80" spans="2:23" ht="15.75" customHeight="1">
      <c r="B80" s="54" t="s">
        <v>167</v>
      </c>
      <c r="C80" s="81" t="s">
        <v>149</v>
      </c>
      <c r="D80" s="90">
        <f>SUMIFS(RVN!H:H,RVN!A:A,B80,RVN!J:J,C80)/12</f>
        <v>0</v>
      </c>
      <c r="E80" s="81" cm="1">
        <f t="array" ref="E80">IF(OR(C80={"Schedule 15","Schedule 51","Schedule 53"}),D80,SUMIFS('Normalized Units'!I:I,'Normalized Units'!H:H,"Bill",'Normalized Units'!C:C,C80,'Normalized Units'!D:D,B80)/12+SUM(SUMIFS('Normalized Units'!I:I,'Normalized Units'!H:H,{"Annual Bill","Load Size","Load Size Minimum"},'Normalized Units'!C:C,C80,'Normalized Units'!D:D,B80)))</f>
        <v>0</v>
      </c>
      <c r="F80" s="64">
        <f>SUMIFS(RVN!I:I,RVN!A:A,B80,RVN!J:J,C80)</f>
        <v>0</v>
      </c>
      <c r="G80" s="64">
        <f>SUMIFS('Normalized Units'!I:I,'Normalized Units'!B:B,"Temperature kWh Normalization",'Normalized Units'!C:C,C80,'Normalized Units'!D:D,B80)</f>
        <v>0</v>
      </c>
      <c r="H80" s="64">
        <f>I80-G80-F80</f>
        <v>0</v>
      </c>
      <c r="I80" s="64">
        <f>SUMIFS('Normalized Units'!I:I,'Normalized Units'!B:B,"Normalized Billing Units",'Normalized Units'!C:C,C80,'Normalized Units'!D:D,B80,'Normalized Units'!H:H,"kWh*")</f>
        <v>0</v>
      </c>
      <c r="J80" s="64">
        <f>SUMIFS(RVN!F:F,RVN!A:A,B80,RVN!J:J,C80)</f>
        <v>11595.93</v>
      </c>
      <c r="K80" s="64" cm="1">
        <f t="array" ref="K80">IF(OR(C80={"Alt Rev Program","Blue Sky","Customer Bill Credits","DSM","Income Tax Defer Adj","Irr Demand Charge Accrual","Rev Adj Property Insur","Rev Adj"}),-J80,0)</f>
        <v>-11595.93</v>
      </c>
      <c r="L80" s="64">
        <f>-SUMIFS(RVN!F:F,RVN!A:A,B80,RVN!B:B,"B",RVN!J:J,C80)</f>
        <v>0</v>
      </c>
      <c r="M80" s="64">
        <v>0</v>
      </c>
      <c r="N80" s="64">
        <f>SUMIFS('Normalized Units'!I:I,'Normalized Units'!B:B,"Temperature $ Normalization",'Normalized Units'!D:D,B80,'Normalized Units'!C:C,C80)</f>
        <v>0</v>
      </c>
      <c r="O80" s="64">
        <f t="shared" ref="O80:O86" si="24">(J80+K80+L80+M80+N80)*T80/100*7/12</f>
        <v>0</v>
      </c>
      <c r="P80" s="64">
        <f t="shared" ref="P80:P86" si="25">(J80+K80+L80+M80+N80)*U80/100*10/12</f>
        <v>0</v>
      </c>
      <c r="Q80" s="64">
        <f t="shared" si="21"/>
        <v>0</v>
      </c>
      <c r="R80" s="64">
        <v>0</v>
      </c>
      <c r="T80" s="184"/>
      <c r="U80" s="184"/>
      <c r="W80" s="54"/>
    </row>
    <row r="81" spans="1:23" ht="15.75" customHeight="1">
      <c r="B81" s="54" t="s">
        <v>167</v>
      </c>
      <c r="C81" s="81" t="s">
        <v>273</v>
      </c>
      <c r="D81" s="90">
        <f>SUMIFS(RVN!H:H,RVN!A:A,B81,RVN!J:J,C81)/12</f>
        <v>0</v>
      </c>
      <c r="E81" s="81" cm="1">
        <f t="array" ref="E81">IF(OR(C81={"Schedule 15","Schedule 51","Schedule 53"}),D81,SUMIFS('Normalized Units'!I:I,'Normalized Units'!H:H,"Bill",'Normalized Units'!C:C,C81,'Normalized Units'!D:D,B81)/12+SUM(SUMIFS('Normalized Units'!I:I,'Normalized Units'!H:H,{"Annual Bill","Load Size","Load Size Minimum"},'Normalized Units'!C:C,C81,'Normalized Units'!D:D,B81)))</f>
        <v>0</v>
      </c>
      <c r="F81" s="64">
        <f>SUMIFS(RVN!I:I,RVN!A:A,B81,RVN!J:J,C81)</f>
        <v>0</v>
      </c>
      <c r="G81" s="64">
        <f>SUMIFS('Normalized Units'!I:I,'Normalized Units'!B:B,"Temperature kWh Normalization",'Normalized Units'!C:C,C81,'Normalized Units'!D:D,B81)</f>
        <v>0</v>
      </c>
      <c r="H81" s="64">
        <f t="shared" ref="H81:H86" si="26">I81-G81-F81</f>
        <v>0</v>
      </c>
      <c r="I81" s="64">
        <f>SUMIFS('Normalized Units'!I:I,'Normalized Units'!B:B,"Normalized Billing Units",'Normalized Units'!C:C,C81,'Normalized Units'!D:D,B81,'Normalized Units'!H:H,"kWh*")</f>
        <v>0</v>
      </c>
      <c r="J81" s="64">
        <f>SUMIFS(RVN!F:F,RVN!A:A,B81,RVN!J:J,C81)</f>
        <v>3821.16</v>
      </c>
      <c r="K81" s="64" cm="1">
        <f t="array" ref="K81">IF(OR(C81={"Alt Rev Program","Blue Sky","Customer Bill Credits","DSM","Income Tax Defer Adj","Irr Demand Charge Accrual","Rev Adj Property Insur","Rev Adj"}),-J81,0)</f>
        <v>-3821.16</v>
      </c>
      <c r="L81" s="64">
        <f>-SUMIFS(RVN!F:F,RVN!A:A,B81,RVN!B:B,"B",RVN!J:J,C81)</f>
        <v>0</v>
      </c>
      <c r="M81" s="64">
        <v>0</v>
      </c>
      <c r="N81" s="64">
        <f>SUMIFS('Normalized Units'!I:I,'Normalized Units'!B:B,"Temperature $ Normalization",'Normalized Units'!D:D,B81,'Normalized Units'!C:C,C81)</f>
        <v>0</v>
      </c>
      <c r="O81" s="64">
        <f t="shared" si="24"/>
        <v>0</v>
      </c>
      <c r="P81" s="64">
        <f t="shared" si="25"/>
        <v>0</v>
      </c>
      <c r="Q81" s="64">
        <f t="shared" si="21"/>
        <v>0</v>
      </c>
      <c r="R81" s="64">
        <v>0</v>
      </c>
      <c r="T81" s="184"/>
      <c r="U81" s="184"/>
      <c r="W81" s="54"/>
    </row>
    <row r="82" spans="1:23" ht="15.75" customHeight="1">
      <c r="B82" s="54" t="s">
        <v>167</v>
      </c>
      <c r="C82" s="81" t="s">
        <v>173</v>
      </c>
      <c r="D82" s="90">
        <f>SUMIFS(RVN!H:H,RVN!A:A,B82,RVN!J:J,C82)/12</f>
        <v>0</v>
      </c>
      <c r="E82" s="81" cm="1">
        <f t="array" ref="E82">IF(OR(C82={"Schedule 15","Schedule 51","Schedule 53"}),D82,SUMIFS('Normalized Units'!I:I,'Normalized Units'!H:H,"Bill",'Normalized Units'!C:C,C82,'Normalized Units'!D:D,B82)/12+SUM(SUMIFS('Normalized Units'!I:I,'Normalized Units'!H:H,{"Annual Bill","Load Size","Load Size Minimum"},'Normalized Units'!C:C,C82,'Normalized Units'!D:D,B82)))</f>
        <v>0</v>
      </c>
      <c r="F82" s="64">
        <f>SUMIFS(RVN!I:I,RVN!A:A,B82,RVN!J:J,C82)</f>
        <v>0</v>
      </c>
      <c r="G82" s="64">
        <f>SUMIFS('Normalized Units'!I:I,'Normalized Units'!B:B,"Temperature kWh Normalization",'Normalized Units'!C:C,C82,'Normalized Units'!D:D,B82)</f>
        <v>0</v>
      </c>
      <c r="H82" s="64">
        <f t="shared" si="26"/>
        <v>0</v>
      </c>
      <c r="I82" s="64">
        <f>SUMIFS('Normalized Units'!I:I,'Normalized Units'!B:B,"Normalized Billing Units",'Normalized Units'!C:C,C82,'Normalized Units'!D:D,B82,'Normalized Units'!H:H,"kWh*")</f>
        <v>0</v>
      </c>
      <c r="J82" s="64">
        <f>SUMIFS(RVN!F:F,RVN!A:A,B82,RVN!J:J,C82)</f>
        <v>2413.6799999999998</v>
      </c>
      <c r="K82" s="64" cm="1">
        <f t="array" ref="K82">IF(OR(C82={"Alt Rev Program","Blue Sky","Customer Bill Credits","DSM","Income Tax Defer Adj","Irr Demand Charge Accrual","Rev Adj Property Insur","Rev Adj"}),-J82,0)</f>
        <v>-2413.6799999999998</v>
      </c>
      <c r="L82" s="64">
        <f>-SUMIFS(RVN!F:F,RVN!A:A,B82,RVN!B:B,"B",RVN!J:J,C82)</f>
        <v>0</v>
      </c>
      <c r="M82" s="64">
        <v>0</v>
      </c>
      <c r="N82" s="64">
        <f>SUMIFS('Normalized Units'!I:I,'Normalized Units'!B:B,"Temperature $ Normalization",'Normalized Units'!D:D,B82,'Normalized Units'!C:C,C82)</f>
        <v>0</v>
      </c>
      <c r="O82" s="64">
        <f t="shared" si="24"/>
        <v>0</v>
      </c>
      <c r="P82" s="64">
        <f t="shared" si="25"/>
        <v>0</v>
      </c>
      <c r="Q82" s="64">
        <f t="shared" si="21"/>
        <v>0</v>
      </c>
      <c r="R82" s="64">
        <v>0</v>
      </c>
      <c r="T82" s="184"/>
      <c r="U82" s="184"/>
      <c r="W82" s="54"/>
    </row>
    <row r="83" spans="1:23" ht="15.75" customHeight="1">
      <c r="B83" s="54" t="s">
        <v>167</v>
      </c>
      <c r="C83" s="90" t="s">
        <v>168</v>
      </c>
      <c r="D83" s="90">
        <f>SUMIFS(RVN!H:H,RVN!A:A,B83,RVN!J:J,C83)/12</f>
        <v>0</v>
      </c>
      <c r="E83" s="81" cm="1">
        <f t="array" ref="E83">IF(OR(C83={"Schedule 15","Schedule 51","Schedule 53"}),D83,SUMIFS('Normalized Units'!I:I,'Normalized Units'!H:H,"Bill",'Normalized Units'!C:C,C83,'Normalized Units'!D:D,B83)/12+SUM(SUMIFS('Normalized Units'!I:I,'Normalized Units'!H:H,{"Annual Bill","Load Size","Load Size Minimum"},'Normalized Units'!C:C,C83,'Normalized Units'!D:D,B83)))</f>
        <v>0</v>
      </c>
      <c r="F83" s="64">
        <f>SUMIFS(RVN!I:I,RVN!A:A,B83,RVN!J:J,C83)</f>
        <v>-290000</v>
      </c>
      <c r="G83" s="64">
        <f>SUMIFS('Normalized Units'!I:I,'Normalized Units'!B:B,"Temperature kWh Normalization",'Normalized Units'!C:C,C83,'Normalized Units'!D:D,B83)</f>
        <v>0</v>
      </c>
      <c r="H83" s="64">
        <f t="shared" si="26"/>
        <v>290000</v>
      </c>
      <c r="I83" s="64">
        <f>SUMIFS('Normalized Units'!I:I,'Normalized Units'!B:B,"Normalized Billing Units",'Normalized Units'!C:C,C83,'Normalized Units'!D:D,B83,'Normalized Units'!H:H,"kWh*")</f>
        <v>0</v>
      </c>
      <c r="J83" s="64">
        <f>SUMIFS(RVN!F:F,RVN!A:A,B83,RVN!J:J,C83)</f>
        <v>-41000</v>
      </c>
      <c r="K83" s="64" cm="1">
        <f t="array" ref="K83">IF(OR(C83={"Alt Rev Program","Blue Sky","Customer Bill Credits","DSM","Income Tax Defer Adj","Irr Demand Charge Accrual","Rev Adj Property Insur","Rev Adj"}),-J83,0)</f>
        <v>0</v>
      </c>
      <c r="L83" s="64">
        <f>-SUMIFS(RVN!F:F,RVN!A:A,B83,RVN!B:B,"B",RVN!J:J,C83)</f>
        <v>0</v>
      </c>
      <c r="M83" s="64">
        <v>0</v>
      </c>
      <c r="N83" s="64">
        <f>SUMIFS('Normalized Units'!I:I,'Normalized Units'!B:B,"Temperature $ Normalization",'Normalized Units'!D:D,B83,'Normalized Units'!C:C,C83)</f>
        <v>0</v>
      </c>
      <c r="O83" s="64">
        <f t="shared" si="24"/>
        <v>0</v>
      </c>
      <c r="P83" s="64">
        <f t="shared" si="25"/>
        <v>0</v>
      </c>
      <c r="Q83" s="64">
        <f t="shared" si="21"/>
        <v>41000</v>
      </c>
      <c r="R83" s="64">
        <v>0</v>
      </c>
      <c r="T83" s="184"/>
      <c r="U83" s="184"/>
      <c r="W83" s="54"/>
    </row>
    <row r="84" spans="1:23" ht="15.75" customHeight="1">
      <c r="B84" s="54" t="s">
        <v>167</v>
      </c>
      <c r="C84" s="83" t="s">
        <v>170</v>
      </c>
      <c r="D84" s="90">
        <f>SUMIFS(RVN!H:H,RVN!A:A,B84,RVN!J:J,C84)/12</f>
        <v>225.91666666666666</v>
      </c>
      <c r="E84" s="81" cm="1">
        <f t="array" ref="E84">IF(OR(C84={"Schedule 15","Schedule 51","Schedule 53"}),D84,SUMIFS('Normalized Units'!I:I,'Normalized Units'!H:H,"Bill",'Normalized Units'!C:C,C84,'Normalized Units'!D:D,B84)/12+SUM(SUMIFS('Normalized Units'!I:I,'Normalized Units'!H:H,{"Annual Bill","Load Size","Load Size Minimum"},'Normalized Units'!C:C,C84,'Normalized Units'!D:D,B84)))</f>
        <v>225.91666666666666</v>
      </c>
      <c r="F84" s="64">
        <f>SUMIFS(RVN!I:I,RVN!A:A,B84,RVN!J:J,C84)</f>
        <v>1962495</v>
      </c>
      <c r="G84" s="64">
        <f>SUMIFS('Normalized Units'!I:I,'Normalized Units'!B:B,"Temperature kWh Normalization",'Normalized Units'!C:C,C84,'Normalized Units'!D:D,B84)</f>
        <v>0</v>
      </c>
      <c r="H84" s="64">
        <f t="shared" si="26"/>
        <v>-142277.62306893896</v>
      </c>
      <c r="I84" s="64">
        <f>SUMIFS('Normalized Units'!I:I,'Normalized Units'!B:B,"Normalized Billing Units",'Normalized Units'!C:C,C84,'Normalized Units'!D:D,B84,'Normalized Units'!H:H,"kWh*")</f>
        <v>1820217.376931061</v>
      </c>
      <c r="J84" s="64">
        <f>SUMIFS(RVN!F:F,RVN!A:A,B84,RVN!J:J,C84)</f>
        <v>444222.36</v>
      </c>
      <c r="K84" s="64" cm="1">
        <f t="array" ref="K84">IF(OR(C84={"Alt Rev Program","Blue Sky","Customer Bill Credits","DSM","Income Tax Defer Adj","Irr Demand Charge Accrual","Rev Adj Property Insur","Rev Adj"}),-J84,0)</f>
        <v>0</v>
      </c>
      <c r="L84" s="64">
        <f>-SUMIFS(RVN!F:F,RVN!A:A,B84,RVN!B:B,"B",RVN!J:J,C84)</f>
        <v>0</v>
      </c>
      <c r="M84" s="64">
        <v>2801.9686094780027</v>
      </c>
      <c r="N84" s="64">
        <f>SUMIFS('Normalized Units'!I:I,'Normalized Units'!B:B,"Temperature $ Normalization",'Normalized Units'!D:D,B84,'Normalized Units'!C:C,C84)</f>
        <v>0</v>
      </c>
      <c r="O84" s="64">
        <f t="shared" si="24"/>
        <v>-441.68222203751748</v>
      </c>
      <c r="P84" s="64">
        <f t="shared" si="25"/>
        <v>27989.117417954447</v>
      </c>
      <c r="Q84" s="64">
        <f t="shared" si="21"/>
        <v>-10300.802474574288</v>
      </c>
      <c r="R84" s="64">
        <f>SUM('Sch.15,51,53,54'!G63:G75)</f>
        <v>464270.96133082063</v>
      </c>
      <c r="T84" s="184">
        <v>-0.16937993640036381</v>
      </c>
      <c r="U84" s="184">
        <v>7.5134480948769582</v>
      </c>
      <c r="W84" s="54"/>
    </row>
    <row r="85" spans="1:23" ht="15.75" customHeight="1">
      <c r="B85" s="54" t="s">
        <v>167</v>
      </c>
      <c r="C85" s="83" t="s">
        <v>227</v>
      </c>
      <c r="D85" s="90">
        <f>SUMIFS(RVN!H:H,RVN!A:A,B85,RVN!J:J,C85)/12</f>
        <v>232.58333333333334</v>
      </c>
      <c r="E85" s="81" cm="1">
        <f t="array" ref="E85">IF(OR(C85={"Schedule 15","Schedule 51","Schedule 53"}),D85,SUMIFS('Normalized Units'!I:I,'Normalized Units'!H:H,"Bill",'Normalized Units'!C:C,C85,'Normalized Units'!D:D,B85)/12+SUM(SUMIFS('Normalized Units'!I:I,'Normalized Units'!H:H,{"Annual Bill","Load Size","Load Size Minimum"},'Normalized Units'!C:C,C85,'Normalized Units'!D:D,B85)))</f>
        <v>232.58333333333334</v>
      </c>
      <c r="F85" s="64">
        <f>SUMIFS(RVN!I:I,RVN!A:A,B85,RVN!J:J,C85)</f>
        <v>2111852</v>
      </c>
      <c r="G85" s="64">
        <f>SUMIFS('Normalized Units'!I:I,'Normalized Units'!B:B,"Temperature kWh Normalization",'Normalized Units'!C:C,C85,'Normalized Units'!D:D,B85)</f>
        <v>0</v>
      </c>
      <c r="H85" s="64">
        <f t="shared" si="26"/>
        <v>-150379.09512371384</v>
      </c>
      <c r="I85" s="64">
        <f>SUMIFS('Normalized Units'!I:I,'Normalized Units'!B:B,"Normalized Billing Units",'Normalized Units'!C:C,C85,'Normalized Units'!D:D,B85,'Normalized Units'!H:H,"kWh*")</f>
        <v>1961472.9048762862</v>
      </c>
      <c r="J85" s="64">
        <f>SUMIFS(RVN!F:F,RVN!A:A,B85,RVN!J:J,C85)</f>
        <v>93649.87</v>
      </c>
      <c r="K85" s="64" cm="1">
        <f t="array" ref="K85">IF(OR(C85={"Alt Rev Program","Blue Sky","Customer Bill Credits","DSM","Income Tax Defer Adj","Irr Demand Charge Accrual","Rev Adj Property Insur","Rev Adj"}),-J85,0)</f>
        <v>0</v>
      </c>
      <c r="L85" s="64">
        <f>-SUMIFS(RVN!F:F,RVN!A:A,B85,RVN!B:B,"B",RVN!J:J,C85)</f>
        <v>0</v>
      </c>
      <c r="M85" s="64">
        <v>2726.2280064087818</v>
      </c>
      <c r="N85" s="64">
        <f>SUMIFS('Normalized Units'!I:I,'Normalized Units'!B:B,"Temperature $ Normalization",'Normalized Units'!D:D,B85,'Normalized Units'!C:C,C85)</f>
        <v>0</v>
      </c>
      <c r="O85" s="64">
        <f t="shared" si="24"/>
        <v>-334.61766828109091</v>
      </c>
      <c r="P85" s="64">
        <f t="shared" si="25"/>
        <v>18672.842300806904</v>
      </c>
      <c r="Q85" s="64">
        <f t="shared" si="21"/>
        <v>-7039.395129714434</v>
      </c>
      <c r="R85" s="64">
        <f>SUM('Sch.15,51,53,54'!G76:G77)</f>
        <v>107674.92750922016</v>
      </c>
      <c r="T85" s="184">
        <v>-0.59519974386566787</v>
      </c>
      <c r="U85" s="184">
        <v>23.249966770265225</v>
      </c>
      <c r="W85" s="54"/>
    </row>
    <row r="86" spans="1:23" ht="15.75" customHeight="1">
      <c r="B86" s="54" t="s">
        <v>167</v>
      </c>
      <c r="C86" s="59" t="s">
        <v>352</v>
      </c>
      <c r="D86" s="90">
        <f>SUMIFS(RVN!H:H,RVN!A:A,B86,RVN!J:J,C86)/12</f>
        <v>0</v>
      </c>
      <c r="E86" s="81" cm="1">
        <f t="array" ref="E86">IF(OR(C86={"Schedule 15","Schedule 51","Schedule 53"}),D86,SUMIFS('Normalized Units'!I:I,'Normalized Units'!H:H,"Bill",'Normalized Units'!C:C,C86,'Normalized Units'!D:D,B86)/12+SUM(SUMIFS('Normalized Units'!I:I,'Normalized Units'!H:H,{"Annual Bill","Load Size","Load Size Minimum"},'Normalized Units'!C:C,C86,'Normalized Units'!D:D,B86)))</f>
        <v>0</v>
      </c>
      <c r="F86" s="64">
        <f>SUMIFS(RVN!I:I,RVN!A:A,B86,RVN!J:J,C86)</f>
        <v>0</v>
      </c>
      <c r="G86" s="64">
        <f>SUMIFS('Normalized Units'!I:I,'Normalized Units'!B:B,"Temperature kWh Normalization",'Normalized Units'!C:C,C86,'Normalized Units'!D:D,B86)</f>
        <v>0</v>
      </c>
      <c r="H86" s="64">
        <f t="shared" si="26"/>
        <v>0</v>
      </c>
      <c r="I86" s="64">
        <f>SUMIFS('Normalized Units'!I:I,'Normalized Units'!B:B,"Normalized Billing Units",'Normalized Units'!C:C,C86,'Normalized Units'!D:D,B86,'Normalized Units'!H:H,"kWh*")</f>
        <v>0</v>
      </c>
      <c r="J86" s="64">
        <f>SUMIFS(RVN!F:F,RVN!A:A,B86,RVN!J:J,C86)</f>
        <v>90.84</v>
      </c>
      <c r="K86" s="64" cm="1">
        <f t="array" ref="K86">IF(OR(C86={"Alt Rev Program","Blue Sky","Customer Bill Credits","DSM","Income Tax Defer Adj","Irr Demand Charge Accrual","Rev Adj Property Insur","Rev Adj"}),-J86,0)</f>
        <v>0</v>
      </c>
      <c r="L86" s="64">
        <f>-SUMIFS(RVN!F:F,RVN!A:A,B86,RVN!B:B,"B",RVN!J:J,C86)</f>
        <v>0</v>
      </c>
      <c r="M86" s="64">
        <v>0</v>
      </c>
      <c r="N86" s="64">
        <f>SUMIFS('Normalized Units'!I:I,'Normalized Units'!B:B,"Temperature $ Normalization",'Normalized Units'!D:D,B86,'Normalized Units'!C:C,C86)</f>
        <v>0</v>
      </c>
      <c r="O86" s="64">
        <f t="shared" si="24"/>
        <v>0</v>
      </c>
      <c r="P86" s="64">
        <f t="shared" si="25"/>
        <v>0</v>
      </c>
      <c r="Q86" s="64">
        <f t="shared" si="21"/>
        <v>0</v>
      </c>
      <c r="R86" s="64">
        <f>J86</f>
        <v>90.84</v>
      </c>
      <c r="T86" s="182"/>
      <c r="U86" s="182"/>
      <c r="W86" s="54"/>
    </row>
    <row r="87" spans="1:23" ht="15.75" customHeight="1">
      <c r="B87" s="61" t="s">
        <v>167</v>
      </c>
      <c r="C87" s="62" t="s">
        <v>1</v>
      </c>
      <c r="D87" s="65">
        <f>SUM(D80:D86)</f>
        <v>458.5</v>
      </c>
      <c r="E87" s="65">
        <f t="shared" ref="E87:R87" si="27">SUM(E80:E86)</f>
        <v>458.5</v>
      </c>
      <c r="F87" s="65">
        <f t="shared" si="27"/>
        <v>3784347</v>
      </c>
      <c r="G87" s="65">
        <f t="shared" si="27"/>
        <v>0</v>
      </c>
      <c r="H87" s="65">
        <f t="shared" si="27"/>
        <v>-2656.7181926527992</v>
      </c>
      <c r="I87" s="65">
        <f t="shared" si="27"/>
        <v>3781690.2818073472</v>
      </c>
      <c r="J87" s="65">
        <f t="shared" si="27"/>
        <v>514793.84</v>
      </c>
      <c r="K87" s="65">
        <f t="shared" si="27"/>
        <v>-17830.77</v>
      </c>
      <c r="L87" s="65">
        <f t="shared" si="27"/>
        <v>0</v>
      </c>
      <c r="M87" s="65">
        <f t="shared" si="27"/>
        <v>5528.1966158867845</v>
      </c>
      <c r="N87" s="65">
        <f t="shared" si="27"/>
        <v>0</v>
      </c>
      <c r="O87" s="65">
        <f t="shared" si="27"/>
        <v>-776.29989031860839</v>
      </c>
      <c r="P87" s="65">
        <f t="shared" si="27"/>
        <v>46661.959718761354</v>
      </c>
      <c r="Q87" s="65">
        <f t="shared" si="27"/>
        <v>23659.802395711278</v>
      </c>
      <c r="R87" s="65">
        <f t="shared" si="27"/>
        <v>572036.72884004074</v>
      </c>
      <c r="T87" s="182"/>
      <c r="U87" s="182"/>
      <c r="W87" s="54"/>
    </row>
    <row r="88" spans="1:23" ht="15.75" customHeight="1">
      <c r="B88" s="67"/>
      <c r="C88" s="86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T88" s="182"/>
      <c r="U88" s="182"/>
      <c r="W88" s="54"/>
    </row>
    <row r="89" spans="1:23" ht="15.75" customHeight="1">
      <c r="B89" s="61" t="s">
        <v>321</v>
      </c>
      <c r="C89" s="62" t="s">
        <v>1</v>
      </c>
      <c r="D89" s="75">
        <f t="shared" ref="D89:R89" si="28">D25+D43+D62+D78+D87</f>
        <v>140534.33333333331</v>
      </c>
      <c r="E89" s="75">
        <f t="shared" si="28"/>
        <v>140527.93088372098</v>
      </c>
      <c r="F89" s="75">
        <f t="shared" si="28"/>
        <v>4215927681</v>
      </c>
      <c r="G89" s="75">
        <f t="shared" si="28"/>
        <v>-21584677.015499998</v>
      </c>
      <c r="H89" s="75">
        <f t="shared" si="28"/>
        <v>-165625.04667415097</v>
      </c>
      <c r="I89" s="75">
        <f t="shared" si="28"/>
        <v>4194177378.9378257</v>
      </c>
      <c r="J89" s="75">
        <f t="shared" si="28"/>
        <v>370457281.33999997</v>
      </c>
      <c r="K89" s="75">
        <f t="shared" si="28"/>
        <v>-17957628.640000001</v>
      </c>
      <c r="L89" s="75">
        <f t="shared" si="28"/>
        <v>16540951.610000001</v>
      </c>
      <c r="M89" s="75">
        <f t="shared" si="28"/>
        <v>-543604.89671070105</v>
      </c>
      <c r="N89" s="75">
        <f t="shared" si="28"/>
        <v>-2240536.6973766158</v>
      </c>
      <c r="O89" s="75">
        <f t="shared" si="28"/>
        <v>-1116263.2978495776</v>
      </c>
      <c r="P89" s="75">
        <f t="shared" si="28"/>
        <v>36674333.914721645</v>
      </c>
      <c r="Q89" s="75">
        <f t="shared" si="28"/>
        <v>3209782.5679518194</v>
      </c>
      <c r="R89" s="75">
        <f t="shared" si="28"/>
        <v>405024315.90073657</v>
      </c>
      <c r="T89" s="183"/>
      <c r="U89" s="183"/>
      <c r="W89" s="269">
        <f>Summary!D25+(Summary!E25+Summary!F25)*1000-E89-I89-R89</f>
        <v>7.152557373046875E-7</v>
      </c>
    </row>
    <row r="90" spans="1:23"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</row>
    <row r="91" spans="1:23" ht="18.75">
      <c r="A91" s="106" t="s">
        <v>393</v>
      </c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</row>
    <row r="92" spans="1:23"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</row>
    <row r="93" spans="1:23" ht="18.75">
      <c r="A93" s="105" t="s">
        <v>381</v>
      </c>
    </row>
    <row r="95" spans="1:23" s="77" customFormat="1" ht="18.75">
      <c r="A95" s="105" t="s">
        <v>383</v>
      </c>
    </row>
    <row r="96" spans="1:23" s="77" customFormat="1">
      <c r="A96" s="81" t="s">
        <v>323</v>
      </c>
    </row>
    <row r="97" spans="1:1" s="77" customFormat="1">
      <c r="A97" s="81" t="s">
        <v>175</v>
      </c>
    </row>
    <row r="98" spans="1:1" s="77" customFormat="1">
      <c r="A98" s="81" t="s">
        <v>324</v>
      </c>
    </row>
    <row r="99" spans="1:1" s="77" customFormat="1">
      <c r="A99" s="81" t="s">
        <v>174</v>
      </c>
    </row>
    <row r="100" spans="1:1" s="77" customFormat="1">
      <c r="A100" s="81" t="s">
        <v>325</v>
      </c>
    </row>
    <row r="101" spans="1:1">
      <c r="A101" s="81" t="s">
        <v>326</v>
      </c>
    </row>
    <row r="102" spans="1:1" s="77" customFormat="1">
      <c r="A102" s="81" t="s">
        <v>192</v>
      </c>
    </row>
    <row r="103" spans="1:1">
      <c r="A103" s="81" t="s">
        <v>191</v>
      </c>
    </row>
    <row r="104" spans="1:1" s="77" customFormat="1"/>
    <row r="105" spans="1:1" s="77" customFormat="1" ht="18.75">
      <c r="A105" s="105" t="s">
        <v>386</v>
      </c>
    </row>
    <row r="106" spans="1:1" s="77" customFormat="1">
      <c r="A106" s="81" t="s">
        <v>361</v>
      </c>
    </row>
    <row r="107" spans="1:1" s="77" customFormat="1">
      <c r="A107" s="81" t="s">
        <v>362</v>
      </c>
    </row>
    <row r="108" spans="1:1" s="77" customFormat="1">
      <c r="A108" s="81" t="s">
        <v>363</v>
      </c>
    </row>
    <row r="109" spans="1:1" s="77" customFormat="1">
      <c r="A109" s="81" t="s">
        <v>364</v>
      </c>
    </row>
    <row r="110" spans="1:1">
      <c r="A110" s="81" t="s">
        <v>365</v>
      </c>
    </row>
    <row r="111" spans="1:1" s="76" customFormat="1" ht="15.75" customHeight="1">
      <c r="A111" s="77"/>
    </row>
    <row r="112" spans="1:1" ht="18.75">
      <c r="A112" s="105" t="s">
        <v>387</v>
      </c>
    </row>
    <row r="113" spans="1:1" ht="18.75">
      <c r="A113" s="105" t="s">
        <v>388</v>
      </c>
    </row>
    <row r="114" spans="1:1" ht="18.75">
      <c r="A114" s="106"/>
    </row>
    <row r="115" spans="1:1" ht="18.75">
      <c r="A115" s="106" t="s">
        <v>389</v>
      </c>
    </row>
    <row r="116" spans="1:1">
      <c r="A116" s="76" t="s">
        <v>374</v>
      </c>
    </row>
    <row r="117" spans="1:1">
      <c r="A117" s="76" t="s">
        <v>371</v>
      </c>
    </row>
    <row r="118" spans="1:1">
      <c r="A118" s="76" t="s">
        <v>372</v>
      </c>
    </row>
  </sheetData>
  <printOptions horizontalCentered="1"/>
  <pageMargins left="0.25" right="0.25" top="0.75" bottom="0.75" header="0.3" footer="0.3"/>
  <pageSetup scale="46" fitToHeight="0" orientation="landscape" r:id="rId1"/>
  <headerFooter alignWithMargins="0"/>
  <rowBreaks count="1" manualBreakCount="1">
    <brk id="62" max="1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6133-7B53-461F-AABC-DB2347A9D048}">
  <sheetPr>
    <pageSetUpPr autoPageBreaks="0" fitToPage="1"/>
  </sheetPr>
  <dimension ref="A2:V69"/>
  <sheetViews>
    <sheetView showGridLines="0" zoomScale="70" zoomScaleNormal="70" zoomScaleSheetLayoutView="70" workbookViewId="0">
      <pane ySplit="3" topLeftCell="A4" activePane="bottomLeft" state="frozen"/>
      <selection pane="bottomLeft" activeCell="A4" sqref="A4"/>
    </sheetView>
  </sheetViews>
  <sheetFormatPr defaultRowHeight="15.75"/>
  <cols>
    <col min="1" max="1" width="0.875" style="114" customWidth="1"/>
    <col min="2" max="2" width="15.125" style="114" customWidth="1"/>
    <col min="3" max="3" width="11" style="114" bestFit="1" customWidth="1"/>
    <col min="4" max="4" width="7.625" style="114" bestFit="1" customWidth="1"/>
    <col min="5" max="5" width="12.625" style="114" bestFit="1" customWidth="1"/>
    <col min="6" max="6" width="13.75" style="115" customWidth="1"/>
    <col min="7" max="19" width="15.125" style="115" customWidth="1"/>
    <col min="20" max="21" width="0.875" style="115" customWidth="1"/>
    <col min="22" max="23" width="15.125" style="115" customWidth="1"/>
    <col min="24" max="16384" width="9" style="115"/>
  </cols>
  <sheetData>
    <row r="2" spans="2:22">
      <c r="B2" s="116" t="s">
        <v>221</v>
      </c>
      <c r="C2" s="117"/>
      <c r="D2" s="117"/>
      <c r="E2" s="117"/>
      <c r="F2" s="117"/>
      <c r="G2" s="178"/>
      <c r="H2" s="116" t="s">
        <v>214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8"/>
      <c r="V2" s="119"/>
    </row>
    <row r="3" spans="2:22">
      <c r="B3" s="119" t="s">
        <v>209</v>
      </c>
      <c r="C3" s="119" t="s">
        <v>178</v>
      </c>
      <c r="D3" s="119" t="s">
        <v>193</v>
      </c>
      <c r="E3" s="176" t="s">
        <v>205</v>
      </c>
      <c r="F3" s="120" t="s">
        <v>216</v>
      </c>
      <c r="G3" s="121" t="s">
        <v>217</v>
      </c>
      <c r="H3" s="122">
        <v>44378</v>
      </c>
      <c r="I3" s="122">
        <v>44409</v>
      </c>
      <c r="J3" s="122">
        <v>44440</v>
      </c>
      <c r="K3" s="122">
        <v>44470</v>
      </c>
      <c r="L3" s="122">
        <v>44501</v>
      </c>
      <c r="M3" s="122">
        <v>44531</v>
      </c>
      <c r="N3" s="122">
        <v>44562</v>
      </c>
      <c r="O3" s="122">
        <v>44593</v>
      </c>
      <c r="P3" s="122">
        <v>44621</v>
      </c>
      <c r="Q3" s="122">
        <v>44652</v>
      </c>
      <c r="R3" s="122">
        <v>44682</v>
      </c>
      <c r="S3" s="122">
        <v>44713</v>
      </c>
      <c r="V3" s="123" t="s">
        <v>215</v>
      </c>
    </row>
    <row r="4" spans="2:22">
      <c r="B4" s="124"/>
      <c r="C4" s="124"/>
      <c r="D4" s="119"/>
      <c r="E4" s="120"/>
      <c r="F4" s="120"/>
      <c r="G4" s="119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V4" s="126"/>
    </row>
    <row r="5" spans="2:22">
      <c r="B5" s="127" t="s">
        <v>229</v>
      </c>
      <c r="C5" s="127" t="s">
        <v>195</v>
      </c>
      <c r="D5" s="126" t="s">
        <v>199</v>
      </c>
      <c r="E5" s="175" t="s">
        <v>335</v>
      </c>
      <c r="F5" s="128" t="s">
        <v>276</v>
      </c>
      <c r="G5" s="129">
        <f t="shared" ref="G5:G28" si="0">SUM(H5:S5)/IF(OR(B5="Schedule 40",E5="Annual Bill"),1,12)</f>
        <v>9169.3972222222237</v>
      </c>
      <c r="H5" s="130">
        <v>9226.2666666666682</v>
      </c>
      <c r="I5" s="130">
        <v>9224.0333333333292</v>
      </c>
      <c r="J5" s="130">
        <v>9192.133333333335</v>
      </c>
      <c r="K5" s="130">
        <v>9189.8000000000029</v>
      </c>
      <c r="L5" s="130">
        <v>9187.466666666669</v>
      </c>
      <c r="M5" s="130">
        <v>9186.1000000000022</v>
      </c>
      <c r="N5" s="130">
        <v>9158.6333333333278</v>
      </c>
      <c r="O5" s="130">
        <v>9133.9666666666708</v>
      </c>
      <c r="P5" s="130">
        <v>9144.5666666666693</v>
      </c>
      <c r="Q5" s="130">
        <v>9123.8333333333358</v>
      </c>
      <c r="R5" s="130">
        <v>9121.9333333333343</v>
      </c>
      <c r="S5" s="130">
        <v>9144.0333333333347</v>
      </c>
      <c r="V5" s="126"/>
    </row>
    <row r="6" spans="2:22">
      <c r="B6" s="127" t="s">
        <v>229</v>
      </c>
      <c r="C6" s="127" t="s">
        <v>195</v>
      </c>
      <c r="D6" s="126" t="s">
        <v>199</v>
      </c>
      <c r="E6" s="175" t="s">
        <v>335</v>
      </c>
      <c r="F6" s="131" t="s">
        <v>277</v>
      </c>
      <c r="G6" s="129">
        <f t="shared" si="0"/>
        <v>2931.172222222222</v>
      </c>
      <c r="H6" s="130">
        <v>2873.3666666666668</v>
      </c>
      <c r="I6" s="130">
        <v>2883.8666666666668</v>
      </c>
      <c r="J6" s="130">
        <v>2882.2333333333336</v>
      </c>
      <c r="K6" s="130">
        <v>2886.9666666666667</v>
      </c>
      <c r="L6" s="130">
        <v>2899.7333333333336</v>
      </c>
      <c r="M6" s="130">
        <v>2923</v>
      </c>
      <c r="N6" s="130">
        <v>2944.0666666666666</v>
      </c>
      <c r="O6" s="130">
        <v>2946.1</v>
      </c>
      <c r="P6" s="130">
        <v>2965.666666666667</v>
      </c>
      <c r="Q6" s="130">
        <v>2976.9666666666662</v>
      </c>
      <c r="R6" s="130">
        <v>2989.1333333333332</v>
      </c>
      <c r="S6" s="130">
        <v>3002.9666666666662</v>
      </c>
      <c r="V6" s="126"/>
    </row>
    <row r="7" spans="2:22">
      <c r="B7" s="127" t="s">
        <v>229</v>
      </c>
      <c r="C7" s="127" t="s">
        <v>195</v>
      </c>
      <c r="D7" s="126" t="s">
        <v>199</v>
      </c>
      <c r="E7" s="175" t="s">
        <v>335</v>
      </c>
      <c r="F7" s="132" t="s">
        <v>278</v>
      </c>
      <c r="G7" s="129">
        <f t="shared" si="0"/>
        <v>2799.2333333333331</v>
      </c>
      <c r="H7" s="130">
        <v>2752.5000000000005</v>
      </c>
      <c r="I7" s="130">
        <v>2764.9</v>
      </c>
      <c r="J7" s="130">
        <v>2772.9333333333334</v>
      </c>
      <c r="K7" s="130">
        <v>2784.7333333333336</v>
      </c>
      <c r="L7" s="130">
        <v>2802.5999999999995</v>
      </c>
      <c r="M7" s="130">
        <v>2816.0666666666671</v>
      </c>
      <c r="N7" s="130">
        <v>2824.8</v>
      </c>
      <c r="O7" s="130">
        <v>2817.1999999999994</v>
      </c>
      <c r="P7" s="130">
        <v>2817.5333333333328</v>
      </c>
      <c r="Q7" s="130">
        <v>2813.6333333333328</v>
      </c>
      <c r="R7" s="130">
        <v>2812.2</v>
      </c>
      <c r="S7" s="130">
        <v>2811.7000000000003</v>
      </c>
      <c r="V7" s="126"/>
    </row>
    <row r="8" spans="2:22">
      <c r="B8" s="127" t="s">
        <v>229</v>
      </c>
      <c r="C8" s="127" t="s">
        <v>195</v>
      </c>
      <c r="D8" s="126" t="s">
        <v>199</v>
      </c>
      <c r="E8" s="175" t="s">
        <v>335</v>
      </c>
      <c r="F8" s="132" t="s">
        <v>218</v>
      </c>
      <c r="G8" s="129">
        <f t="shared" si="0"/>
        <v>1.25</v>
      </c>
      <c r="H8" s="130">
        <v>3</v>
      </c>
      <c r="I8" s="130">
        <v>2</v>
      </c>
      <c r="J8" s="130">
        <v>1</v>
      </c>
      <c r="K8" s="130">
        <v>1</v>
      </c>
      <c r="L8" s="130">
        <v>1</v>
      </c>
      <c r="M8" s="130">
        <v>1</v>
      </c>
      <c r="N8" s="130">
        <v>1</v>
      </c>
      <c r="O8" s="130">
        <v>1</v>
      </c>
      <c r="P8" s="130">
        <v>1</v>
      </c>
      <c r="Q8" s="130">
        <v>1</v>
      </c>
      <c r="R8" s="130">
        <v>1</v>
      </c>
      <c r="S8" s="130">
        <v>1</v>
      </c>
      <c r="V8" s="126"/>
    </row>
    <row r="9" spans="2:22">
      <c r="B9" s="127" t="s">
        <v>229</v>
      </c>
      <c r="C9" s="127" t="s">
        <v>195</v>
      </c>
      <c r="D9" s="126" t="s">
        <v>199</v>
      </c>
      <c r="E9" s="175" t="s">
        <v>335</v>
      </c>
      <c r="F9" s="132" t="s">
        <v>219</v>
      </c>
      <c r="G9" s="129">
        <f t="shared" si="0"/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  <c r="S9" s="130">
        <v>0</v>
      </c>
      <c r="V9" s="126"/>
    </row>
    <row r="10" spans="2:22">
      <c r="B10" s="127" t="s">
        <v>229</v>
      </c>
      <c r="C10" s="127" t="s">
        <v>195</v>
      </c>
      <c r="D10" s="126" t="s">
        <v>199</v>
      </c>
      <c r="E10" s="175" t="s">
        <v>335</v>
      </c>
      <c r="F10" s="132" t="s">
        <v>220</v>
      </c>
      <c r="G10" s="129">
        <f t="shared" si="0"/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  <c r="S10" s="130">
        <v>0</v>
      </c>
      <c r="V10" s="126"/>
    </row>
    <row r="11" spans="2:22">
      <c r="B11" s="127" t="s">
        <v>229</v>
      </c>
      <c r="C11" s="127" t="s">
        <v>195</v>
      </c>
      <c r="D11" s="126" t="s">
        <v>199</v>
      </c>
      <c r="E11" s="175" t="s">
        <v>336</v>
      </c>
      <c r="F11" s="128" t="s">
        <v>276</v>
      </c>
      <c r="G11" s="129">
        <f t="shared" si="0"/>
        <v>0.63013698630136983</v>
      </c>
      <c r="H11" s="130">
        <v>0</v>
      </c>
      <c r="I11" s="130">
        <v>0</v>
      </c>
      <c r="J11" s="130">
        <v>0</v>
      </c>
      <c r="K11" s="130">
        <v>0</v>
      </c>
      <c r="L11" s="130">
        <v>0.63013698630136983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V11" s="126"/>
    </row>
    <row r="12" spans="2:22">
      <c r="B12" s="127" t="s">
        <v>229</v>
      </c>
      <c r="C12" s="127" t="s">
        <v>195</v>
      </c>
      <c r="D12" s="126" t="s">
        <v>199</v>
      </c>
      <c r="E12" s="175" t="s">
        <v>336</v>
      </c>
      <c r="F12" s="131" t="s">
        <v>277</v>
      </c>
      <c r="G12" s="129">
        <f t="shared" si="0"/>
        <v>2</v>
      </c>
      <c r="H12" s="130">
        <v>0</v>
      </c>
      <c r="I12" s="130">
        <v>0</v>
      </c>
      <c r="J12" s="130">
        <v>0</v>
      </c>
      <c r="K12" s="130">
        <v>0</v>
      </c>
      <c r="L12" s="130">
        <v>2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V12" s="126"/>
    </row>
    <row r="13" spans="2:22">
      <c r="B13" s="127" t="s">
        <v>229</v>
      </c>
      <c r="C13" s="127" t="s">
        <v>195</v>
      </c>
      <c r="D13" s="126" t="s">
        <v>199</v>
      </c>
      <c r="E13" s="175" t="s">
        <v>336</v>
      </c>
      <c r="F13" s="132" t="s">
        <v>278</v>
      </c>
      <c r="G13" s="129">
        <f t="shared" si="0"/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0</v>
      </c>
      <c r="V13" s="126"/>
    </row>
    <row r="14" spans="2:22">
      <c r="B14" s="127" t="s">
        <v>229</v>
      </c>
      <c r="C14" s="127" t="s">
        <v>195</v>
      </c>
      <c r="D14" s="126" t="s">
        <v>199</v>
      </c>
      <c r="E14" s="175" t="s">
        <v>336</v>
      </c>
      <c r="F14" s="132" t="s">
        <v>218</v>
      </c>
      <c r="G14" s="129">
        <f t="shared" si="0"/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V14" s="126"/>
    </row>
    <row r="15" spans="2:22">
      <c r="B15" s="127" t="s">
        <v>229</v>
      </c>
      <c r="C15" s="127" t="s">
        <v>195</v>
      </c>
      <c r="D15" s="126" t="s">
        <v>199</v>
      </c>
      <c r="E15" s="175" t="s">
        <v>336</v>
      </c>
      <c r="F15" s="132" t="s">
        <v>219</v>
      </c>
      <c r="G15" s="129">
        <f t="shared" si="0"/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V15" s="126"/>
    </row>
    <row r="16" spans="2:22">
      <c r="B16" s="127" t="s">
        <v>229</v>
      </c>
      <c r="C16" s="127" t="s">
        <v>195</v>
      </c>
      <c r="D16" s="126" t="s">
        <v>199</v>
      </c>
      <c r="E16" s="175" t="s">
        <v>336</v>
      </c>
      <c r="F16" s="132" t="s">
        <v>220</v>
      </c>
      <c r="G16" s="129">
        <f t="shared" si="0"/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0</v>
      </c>
      <c r="V16" s="126"/>
    </row>
    <row r="17" spans="2:22">
      <c r="B17" s="127" t="s">
        <v>229</v>
      </c>
      <c r="C17" s="127" t="s">
        <v>195</v>
      </c>
      <c r="D17" s="126" t="s">
        <v>200</v>
      </c>
      <c r="E17" s="175" t="s">
        <v>335</v>
      </c>
      <c r="F17" s="128" t="s">
        <v>276</v>
      </c>
      <c r="G17" s="129">
        <f t="shared" si="0"/>
        <v>602.85000000000014</v>
      </c>
      <c r="H17" s="130">
        <v>604.16666666666674</v>
      </c>
      <c r="I17" s="130">
        <v>604.56666666666672</v>
      </c>
      <c r="J17" s="130">
        <v>606.13333333333344</v>
      </c>
      <c r="K17" s="130">
        <v>598.66666666666674</v>
      </c>
      <c r="L17" s="130">
        <v>598.40000000000009</v>
      </c>
      <c r="M17" s="130">
        <v>604.80000000000007</v>
      </c>
      <c r="N17" s="130">
        <v>604.43333333333328</v>
      </c>
      <c r="O17" s="130">
        <v>599.16666666666674</v>
      </c>
      <c r="P17" s="130">
        <v>601.30000000000007</v>
      </c>
      <c r="Q17" s="130">
        <v>601.40000000000009</v>
      </c>
      <c r="R17" s="130">
        <v>603.23333333333335</v>
      </c>
      <c r="S17" s="130">
        <v>607.93333333333339</v>
      </c>
      <c r="V17" s="126"/>
    </row>
    <row r="18" spans="2:22">
      <c r="B18" s="127" t="s">
        <v>229</v>
      </c>
      <c r="C18" s="127" t="s">
        <v>195</v>
      </c>
      <c r="D18" s="126" t="s">
        <v>200</v>
      </c>
      <c r="E18" s="175" t="s">
        <v>335</v>
      </c>
      <c r="F18" s="131" t="s">
        <v>277</v>
      </c>
      <c r="G18" s="129">
        <f t="shared" si="0"/>
        <v>1439.5722222222223</v>
      </c>
      <c r="H18" s="130">
        <v>1445.8999999999999</v>
      </c>
      <c r="I18" s="130">
        <v>1435.3666666666666</v>
      </c>
      <c r="J18" s="130">
        <v>1424.9999999999998</v>
      </c>
      <c r="K18" s="130">
        <v>1420.7333333333331</v>
      </c>
      <c r="L18" s="130">
        <v>1422.7666666666669</v>
      </c>
      <c r="M18" s="130">
        <v>1435.6000000000001</v>
      </c>
      <c r="N18" s="130">
        <v>1441.3666666666668</v>
      </c>
      <c r="O18" s="130">
        <v>1438.8333333333335</v>
      </c>
      <c r="P18" s="130">
        <v>1444.1</v>
      </c>
      <c r="Q18" s="130">
        <v>1447.4666666666667</v>
      </c>
      <c r="R18" s="130">
        <v>1453.1333333333332</v>
      </c>
      <c r="S18" s="130">
        <v>1464.6</v>
      </c>
      <c r="V18" s="126"/>
    </row>
    <row r="19" spans="2:22">
      <c r="B19" s="127" t="s">
        <v>229</v>
      </c>
      <c r="C19" s="127" t="s">
        <v>195</v>
      </c>
      <c r="D19" s="126" t="s">
        <v>200</v>
      </c>
      <c r="E19" s="175" t="s">
        <v>335</v>
      </c>
      <c r="F19" s="132" t="s">
        <v>278</v>
      </c>
      <c r="G19" s="129">
        <f t="shared" si="0"/>
        <v>3709.1944444444439</v>
      </c>
      <c r="H19" s="130">
        <v>3670.166666666667</v>
      </c>
      <c r="I19" s="130">
        <v>3686.7999999999993</v>
      </c>
      <c r="J19" s="130">
        <v>3692.8</v>
      </c>
      <c r="K19" s="130">
        <v>3709.4333333333329</v>
      </c>
      <c r="L19" s="130">
        <v>3715.8666666666663</v>
      </c>
      <c r="M19" s="130">
        <v>3716.7333333333336</v>
      </c>
      <c r="N19" s="130">
        <v>3718.7666666666669</v>
      </c>
      <c r="O19" s="130">
        <v>3719.4</v>
      </c>
      <c r="P19" s="130">
        <v>3725.4</v>
      </c>
      <c r="Q19" s="130">
        <v>3720.7333333333331</v>
      </c>
      <c r="R19" s="130">
        <v>3720.4666666666662</v>
      </c>
      <c r="S19" s="130">
        <v>3713.7666666666664</v>
      </c>
      <c r="V19" s="126"/>
    </row>
    <row r="20" spans="2:22">
      <c r="B20" s="127" t="s">
        <v>229</v>
      </c>
      <c r="C20" s="127" t="s">
        <v>195</v>
      </c>
      <c r="D20" s="126" t="s">
        <v>200</v>
      </c>
      <c r="E20" s="175" t="s">
        <v>335</v>
      </c>
      <c r="F20" s="132" t="s">
        <v>218</v>
      </c>
      <c r="G20" s="129">
        <f t="shared" si="0"/>
        <v>90.677777777777763</v>
      </c>
      <c r="H20" s="130">
        <v>130.03333333333333</v>
      </c>
      <c r="I20" s="130">
        <v>113.06666666666666</v>
      </c>
      <c r="J20" s="130">
        <v>111.06666666666666</v>
      </c>
      <c r="K20" s="130">
        <v>102.8</v>
      </c>
      <c r="L20" s="130">
        <v>92.366666666666674</v>
      </c>
      <c r="M20" s="130">
        <v>87</v>
      </c>
      <c r="N20" s="130">
        <v>83</v>
      </c>
      <c r="O20" s="130">
        <v>77.366666666666674</v>
      </c>
      <c r="P20" s="130">
        <v>75.766666666666666</v>
      </c>
      <c r="Q20" s="130">
        <v>74.366666666666674</v>
      </c>
      <c r="R20" s="130">
        <v>71.3</v>
      </c>
      <c r="S20" s="130">
        <v>70</v>
      </c>
      <c r="V20" s="126"/>
    </row>
    <row r="21" spans="2:22">
      <c r="B21" s="127" t="s">
        <v>229</v>
      </c>
      <c r="C21" s="127" t="s">
        <v>195</v>
      </c>
      <c r="D21" s="126" t="s">
        <v>200</v>
      </c>
      <c r="E21" s="175" t="s">
        <v>335</v>
      </c>
      <c r="F21" s="132" t="s">
        <v>219</v>
      </c>
      <c r="G21" s="129">
        <f t="shared" si="0"/>
        <v>3.4166666666666665</v>
      </c>
      <c r="H21" s="130">
        <v>5</v>
      </c>
      <c r="I21" s="130">
        <v>5</v>
      </c>
      <c r="J21" s="130">
        <v>4</v>
      </c>
      <c r="K21" s="130">
        <v>4</v>
      </c>
      <c r="L21" s="130">
        <v>4</v>
      </c>
      <c r="M21" s="130">
        <v>4</v>
      </c>
      <c r="N21" s="130">
        <v>2</v>
      </c>
      <c r="O21" s="130">
        <v>3</v>
      </c>
      <c r="P21" s="130">
        <v>3</v>
      </c>
      <c r="Q21" s="130">
        <v>3</v>
      </c>
      <c r="R21" s="130">
        <v>2</v>
      </c>
      <c r="S21" s="130">
        <v>2</v>
      </c>
      <c r="V21" s="126"/>
    </row>
    <row r="22" spans="2:22">
      <c r="B22" s="127" t="s">
        <v>229</v>
      </c>
      <c r="C22" s="127" t="s">
        <v>195</v>
      </c>
      <c r="D22" s="126" t="s">
        <v>200</v>
      </c>
      <c r="E22" s="175" t="s">
        <v>335</v>
      </c>
      <c r="F22" s="132" t="s">
        <v>220</v>
      </c>
      <c r="G22" s="129">
        <f t="shared" si="0"/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V22" s="174"/>
    </row>
    <row r="23" spans="2:22">
      <c r="B23" s="127" t="s">
        <v>229</v>
      </c>
      <c r="C23" s="127" t="s">
        <v>195</v>
      </c>
      <c r="D23" s="126" t="s">
        <v>200</v>
      </c>
      <c r="E23" s="175" t="s">
        <v>336</v>
      </c>
      <c r="F23" s="128" t="s">
        <v>276</v>
      </c>
      <c r="G23" s="129">
        <f t="shared" si="0"/>
        <v>23.131506849315066</v>
      </c>
      <c r="H23" s="130">
        <v>0</v>
      </c>
      <c r="I23" s="130">
        <v>0</v>
      </c>
      <c r="J23" s="130">
        <v>0</v>
      </c>
      <c r="K23" s="130">
        <v>0</v>
      </c>
      <c r="L23" s="130">
        <v>22.501369863013696</v>
      </c>
      <c r="M23" s="130">
        <v>0</v>
      </c>
      <c r="N23" s="130">
        <v>0</v>
      </c>
      <c r="O23" s="130">
        <v>0.19178082191780821</v>
      </c>
      <c r="P23" s="130">
        <v>0</v>
      </c>
      <c r="Q23" s="130">
        <v>0</v>
      </c>
      <c r="R23" s="130">
        <v>0.43835616438356162</v>
      </c>
      <c r="S23" s="130">
        <v>0</v>
      </c>
      <c r="V23" s="126"/>
    </row>
    <row r="24" spans="2:22">
      <c r="B24" s="127" t="s">
        <v>229</v>
      </c>
      <c r="C24" s="127" t="s">
        <v>195</v>
      </c>
      <c r="D24" s="126" t="s">
        <v>200</v>
      </c>
      <c r="E24" s="175" t="s">
        <v>336</v>
      </c>
      <c r="F24" s="131" t="s">
        <v>277</v>
      </c>
      <c r="G24" s="129">
        <f t="shared" si="0"/>
        <v>2</v>
      </c>
      <c r="H24" s="130">
        <v>0</v>
      </c>
      <c r="I24" s="130">
        <v>0</v>
      </c>
      <c r="J24" s="130">
        <v>0</v>
      </c>
      <c r="K24" s="130">
        <v>0</v>
      </c>
      <c r="L24" s="130">
        <v>2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V24" s="126"/>
    </row>
    <row r="25" spans="2:22">
      <c r="B25" s="127" t="s">
        <v>229</v>
      </c>
      <c r="C25" s="127" t="s">
        <v>195</v>
      </c>
      <c r="D25" s="126" t="s">
        <v>200</v>
      </c>
      <c r="E25" s="175" t="s">
        <v>336</v>
      </c>
      <c r="F25" s="132" t="s">
        <v>278</v>
      </c>
      <c r="G25" s="129">
        <f t="shared" si="0"/>
        <v>39.339726027397248</v>
      </c>
      <c r="H25" s="130">
        <v>0</v>
      </c>
      <c r="I25" s="130">
        <v>0</v>
      </c>
      <c r="J25" s="130">
        <v>0</v>
      </c>
      <c r="K25" s="130">
        <v>0</v>
      </c>
      <c r="L25" s="130">
        <v>38.649315068493138</v>
      </c>
      <c r="M25" s="130">
        <v>0</v>
      </c>
      <c r="N25" s="130">
        <v>0</v>
      </c>
      <c r="O25" s="130">
        <v>0</v>
      </c>
      <c r="P25" s="130">
        <v>0.30410958904109592</v>
      </c>
      <c r="Q25" s="130">
        <v>0</v>
      </c>
      <c r="R25" s="130">
        <v>0.38630136986301372</v>
      </c>
      <c r="S25" s="130">
        <v>0</v>
      </c>
      <c r="V25" s="126"/>
    </row>
    <row r="26" spans="2:22">
      <c r="B26" s="127" t="s">
        <v>229</v>
      </c>
      <c r="C26" s="127" t="s">
        <v>195</v>
      </c>
      <c r="D26" s="126" t="s">
        <v>200</v>
      </c>
      <c r="E26" s="175" t="s">
        <v>336</v>
      </c>
      <c r="F26" s="132" t="s">
        <v>218</v>
      </c>
      <c r="G26" s="129">
        <f t="shared" si="0"/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V26" s="126"/>
    </row>
    <row r="27" spans="2:22">
      <c r="B27" s="127" t="s">
        <v>229</v>
      </c>
      <c r="C27" s="127" t="s">
        <v>195</v>
      </c>
      <c r="D27" s="126" t="s">
        <v>200</v>
      </c>
      <c r="E27" s="175" t="s">
        <v>336</v>
      </c>
      <c r="F27" s="132" t="s">
        <v>219</v>
      </c>
      <c r="G27" s="129">
        <f t="shared" si="0"/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V27" s="126"/>
    </row>
    <row r="28" spans="2:22">
      <c r="B28" s="127" t="s">
        <v>229</v>
      </c>
      <c r="C28" s="127" t="s">
        <v>195</v>
      </c>
      <c r="D28" s="126" t="s">
        <v>200</v>
      </c>
      <c r="E28" s="175" t="s">
        <v>336</v>
      </c>
      <c r="F28" s="132" t="s">
        <v>220</v>
      </c>
      <c r="G28" s="137">
        <f t="shared" si="0"/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V28" s="133">
        <f>'Normalized Summary'!E20+'Normalized Summary'!E36+'Normalized Summary'!E54-SUM(G5:G28)</f>
        <v>0</v>
      </c>
    </row>
    <row r="29" spans="2:22">
      <c r="B29" s="119"/>
      <c r="C29" s="119"/>
      <c r="D29" s="119"/>
      <c r="E29" s="176"/>
      <c r="F29" s="120"/>
      <c r="G29" s="179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V29" s="119"/>
    </row>
    <row r="30" spans="2:22">
      <c r="B30" s="127" t="s">
        <v>279</v>
      </c>
      <c r="C30" s="127" t="s">
        <v>176</v>
      </c>
      <c r="D30" s="126" t="s">
        <v>199</v>
      </c>
      <c r="E30" s="175" t="s">
        <v>195</v>
      </c>
      <c r="F30" s="128" t="s">
        <v>276</v>
      </c>
      <c r="G30" s="129">
        <f t="shared" ref="G30:G53" si="1">SUM(H30:S30)/IF(OR(B30="Schedule 40",E30="Annual Bill"),1,12)</f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V30" s="126"/>
    </row>
    <row r="31" spans="2:22">
      <c r="B31" s="127" t="s">
        <v>279</v>
      </c>
      <c r="C31" s="127" t="s">
        <v>176</v>
      </c>
      <c r="D31" s="126" t="s">
        <v>199</v>
      </c>
      <c r="E31" s="175" t="s">
        <v>195</v>
      </c>
      <c r="F31" s="131" t="s">
        <v>277</v>
      </c>
      <c r="G31" s="129">
        <f t="shared" si="1"/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V31" s="126"/>
    </row>
    <row r="32" spans="2:22">
      <c r="B32" s="127" t="s">
        <v>279</v>
      </c>
      <c r="C32" s="127" t="s">
        <v>176</v>
      </c>
      <c r="D32" s="126" t="s">
        <v>199</v>
      </c>
      <c r="E32" s="175" t="s">
        <v>195</v>
      </c>
      <c r="F32" s="132" t="s">
        <v>278</v>
      </c>
      <c r="G32" s="129">
        <f t="shared" si="1"/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30">
        <v>0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V32" s="126"/>
    </row>
    <row r="33" spans="2:22">
      <c r="B33" s="127" t="s">
        <v>279</v>
      </c>
      <c r="C33" s="127" t="s">
        <v>176</v>
      </c>
      <c r="D33" s="126" t="s">
        <v>199</v>
      </c>
      <c r="E33" s="175" t="s">
        <v>195</v>
      </c>
      <c r="F33" s="132" t="s">
        <v>218</v>
      </c>
      <c r="G33" s="129">
        <f t="shared" si="1"/>
        <v>10.441666666666666</v>
      </c>
      <c r="H33" s="130">
        <v>9</v>
      </c>
      <c r="I33" s="130">
        <v>10</v>
      </c>
      <c r="J33" s="130">
        <v>11</v>
      </c>
      <c r="K33" s="130">
        <v>11</v>
      </c>
      <c r="L33" s="130">
        <v>11</v>
      </c>
      <c r="M33" s="130">
        <v>11</v>
      </c>
      <c r="N33" s="130">
        <v>11</v>
      </c>
      <c r="O33" s="130">
        <v>11.3</v>
      </c>
      <c r="P33" s="130">
        <v>10</v>
      </c>
      <c r="Q33" s="130">
        <v>10</v>
      </c>
      <c r="R33" s="130">
        <v>10</v>
      </c>
      <c r="S33" s="130">
        <v>10</v>
      </c>
      <c r="V33" s="126"/>
    </row>
    <row r="34" spans="2:22">
      <c r="B34" s="127" t="s">
        <v>279</v>
      </c>
      <c r="C34" s="127" t="s">
        <v>176</v>
      </c>
      <c r="D34" s="126" t="s">
        <v>199</v>
      </c>
      <c r="E34" s="175" t="s">
        <v>195</v>
      </c>
      <c r="F34" s="132" t="s">
        <v>219</v>
      </c>
      <c r="G34" s="129">
        <f t="shared" si="1"/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V34" s="126"/>
    </row>
    <row r="35" spans="2:22">
      <c r="B35" s="127" t="s">
        <v>279</v>
      </c>
      <c r="C35" s="127" t="s">
        <v>176</v>
      </c>
      <c r="D35" s="126" t="s">
        <v>199</v>
      </c>
      <c r="E35" s="175" t="s">
        <v>195</v>
      </c>
      <c r="F35" s="132" t="s">
        <v>220</v>
      </c>
      <c r="G35" s="129">
        <f t="shared" si="1"/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V35" s="126"/>
    </row>
    <row r="36" spans="2:22">
      <c r="B36" s="127" t="s">
        <v>279</v>
      </c>
      <c r="C36" s="127" t="s">
        <v>176</v>
      </c>
      <c r="D36" s="126" t="s">
        <v>200</v>
      </c>
      <c r="E36" s="175" t="s">
        <v>195</v>
      </c>
      <c r="F36" s="128" t="s">
        <v>276</v>
      </c>
      <c r="G36" s="129">
        <f t="shared" si="1"/>
        <v>6.5222222222222221</v>
      </c>
      <c r="H36" s="130">
        <v>5</v>
      </c>
      <c r="I36" s="130">
        <v>6</v>
      </c>
      <c r="J36" s="130">
        <v>6</v>
      </c>
      <c r="K36" s="130">
        <v>6</v>
      </c>
      <c r="L36" s="130">
        <v>6</v>
      </c>
      <c r="M36" s="130">
        <v>6</v>
      </c>
      <c r="N36" s="130">
        <v>6</v>
      </c>
      <c r="O36" s="130">
        <v>6</v>
      </c>
      <c r="P36" s="130">
        <v>6.8666666666666671</v>
      </c>
      <c r="Q36" s="130">
        <v>7.7333333333333334</v>
      </c>
      <c r="R36" s="130">
        <v>8</v>
      </c>
      <c r="S36" s="130">
        <v>8.6666666666666679</v>
      </c>
      <c r="V36" s="126"/>
    </row>
    <row r="37" spans="2:22">
      <c r="B37" s="127" t="s">
        <v>279</v>
      </c>
      <c r="C37" s="127" t="s">
        <v>176</v>
      </c>
      <c r="D37" s="126" t="s">
        <v>200</v>
      </c>
      <c r="E37" s="175" t="s">
        <v>195</v>
      </c>
      <c r="F37" s="131" t="s">
        <v>277</v>
      </c>
      <c r="G37" s="129">
        <f t="shared" si="1"/>
        <v>2.4138888888888888</v>
      </c>
      <c r="H37" s="130">
        <v>1</v>
      </c>
      <c r="I37" s="130">
        <v>1</v>
      </c>
      <c r="J37" s="130">
        <v>1</v>
      </c>
      <c r="K37" s="130">
        <v>1</v>
      </c>
      <c r="L37" s="130">
        <v>3.7</v>
      </c>
      <c r="M37" s="130">
        <v>3</v>
      </c>
      <c r="N37" s="130">
        <v>3</v>
      </c>
      <c r="O37" s="130">
        <v>3</v>
      </c>
      <c r="P37" s="130">
        <v>3</v>
      </c>
      <c r="Q37" s="130">
        <v>3</v>
      </c>
      <c r="R37" s="130">
        <v>3</v>
      </c>
      <c r="S37" s="130">
        <v>3.2666666666666666</v>
      </c>
      <c r="V37" s="126"/>
    </row>
    <row r="38" spans="2:22">
      <c r="B38" s="127" t="s">
        <v>279</v>
      </c>
      <c r="C38" s="127" t="s">
        <v>176</v>
      </c>
      <c r="D38" s="126" t="s">
        <v>200</v>
      </c>
      <c r="E38" s="175" t="s">
        <v>195</v>
      </c>
      <c r="F38" s="132" t="s">
        <v>278</v>
      </c>
      <c r="G38" s="129">
        <f t="shared" si="1"/>
        <v>32.136111111111113</v>
      </c>
      <c r="H38" s="130">
        <v>41.8</v>
      </c>
      <c r="I38" s="130">
        <v>41.599999999999994</v>
      </c>
      <c r="J38" s="130">
        <v>38.400000000000006</v>
      </c>
      <c r="K38" s="130">
        <v>32.933333333333337</v>
      </c>
      <c r="L38" s="130">
        <v>32.766666666666666</v>
      </c>
      <c r="M38" s="130">
        <v>30.366666666666667</v>
      </c>
      <c r="N38" s="130">
        <v>29.766666666666666</v>
      </c>
      <c r="O38" s="130">
        <v>29</v>
      </c>
      <c r="P38" s="130">
        <v>26.633333333333333</v>
      </c>
      <c r="Q38" s="130">
        <v>27.766666666666666</v>
      </c>
      <c r="R38" s="130">
        <v>27</v>
      </c>
      <c r="S38" s="130">
        <v>27.6</v>
      </c>
      <c r="V38" s="126"/>
    </row>
    <row r="39" spans="2:22">
      <c r="B39" s="127" t="s">
        <v>279</v>
      </c>
      <c r="C39" s="127" t="s">
        <v>176</v>
      </c>
      <c r="D39" s="126" t="s">
        <v>200</v>
      </c>
      <c r="E39" s="175" t="s">
        <v>195</v>
      </c>
      <c r="F39" s="132" t="s">
        <v>218</v>
      </c>
      <c r="G39" s="129">
        <f t="shared" si="1"/>
        <v>679.99999999999989</v>
      </c>
      <c r="H39" s="130">
        <v>638.5333333333333</v>
      </c>
      <c r="I39" s="130">
        <v>654.9</v>
      </c>
      <c r="J39" s="130">
        <v>661.9</v>
      </c>
      <c r="K39" s="130">
        <v>670</v>
      </c>
      <c r="L39" s="130">
        <v>678.43333333333339</v>
      </c>
      <c r="M39" s="130">
        <v>683.0333333333333</v>
      </c>
      <c r="N39" s="130">
        <v>693.86666666666667</v>
      </c>
      <c r="O39" s="130">
        <v>696.96666666666658</v>
      </c>
      <c r="P39" s="130">
        <v>696.4</v>
      </c>
      <c r="Q39" s="130">
        <v>695.4</v>
      </c>
      <c r="R39" s="130">
        <v>697</v>
      </c>
      <c r="S39" s="130">
        <v>693.56666666666672</v>
      </c>
      <c r="V39" s="126"/>
    </row>
    <row r="40" spans="2:22">
      <c r="B40" s="127" t="s">
        <v>279</v>
      </c>
      <c r="C40" s="127" t="s">
        <v>176</v>
      </c>
      <c r="D40" s="126" t="s">
        <v>200</v>
      </c>
      <c r="E40" s="175" t="s">
        <v>195</v>
      </c>
      <c r="F40" s="132" t="s">
        <v>219</v>
      </c>
      <c r="G40" s="129">
        <f t="shared" si="1"/>
        <v>324.61666666666662</v>
      </c>
      <c r="H40" s="130">
        <v>323.26666666666665</v>
      </c>
      <c r="I40" s="130">
        <v>324.9666666666667</v>
      </c>
      <c r="J40" s="130">
        <v>325.3</v>
      </c>
      <c r="K40" s="130">
        <v>325</v>
      </c>
      <c r="L40" s="130">
        <v>325.83333333333331</v>
      </c>
      <c r="M40" s="130">
        <v>324</v>
      </c>
      <c r="N40" s="130">
        <v>326.93333333333334</v>
      </c>
      <c r="O40" s="130">
        <v>325</v>
      </c>
      <c r="P40" s="130">
        <v>324.10000000000002</v>
      </c>
      <c r="Q40" s="130">
        <v>323</v>
      </c>
      <c r="R40" s="130">
        <v>324</v>
      </c>
      <c r="S40" s="130">
        <v>324</v>
      </c>
      <c r="V40" s="126"/>
    </row>
    <row r="41" spans="2:22">
      <c r="B41" s="127" t="s">
        <v>279</v>
      </c>
      <c r="C41" s="127" t="s">
        <v>176</v>
      </c>
      <c r="D41" s="126" t="s">
        <v>200</v>
      </c>
      <c r="E41" s="175" t="s">
        <v>195</v>
      </c>
      <c r="F41" s="132" t="s">
        <v>220</v>
      </c>
      <c r="G41" s="129">
        <f t="shared" si="1"/>
        <v>4.6055555555555552</v>
      </c>
      <c r="H41" s="130">
        <v>5</v>
      </c>
      <c r="I41" s="130">
        <v>5</v>
      </c>
      <c r="J41" s="130">
        <v>5</v>
      </c>
      <c r="K41" s="130">
        <v>5</v>
      </c>
      <c r="L41" s="130">
        <v>5</v>
      </c>
      <c r="M41" s="130">
        <v>5</v>
      </c>
      <c r="N41" s="130">
        <v>5</v>
      </c>
      <c r="O41" s="130">
        <v>4.2666666666666666</v>
      </c>
      <c r="P41" s="130">
        <v>4</v>
      </c>
      <c r="Q41" s="130">
        <v>4</v>
      </c>
      <c r="R41" s="130">
        <v>4</v>
      </c>
      <c r="S41" s="130">
        <v>4</v>
      </c>
      <c r="V41" s="126"/>
    </row>
    <row r="42" spans="2:22">
      <c r="B42" s="127" t="s">
        <v>279</v>
      </c>
      <c r="C42" s="127" t="s">
        <v>177</v>
      </c>
      <c r="D42" s="126" t="s">
        <v>199</v>
      </c>
      <c r="E42" s="175" t="s">
        <v>195</v>
      </c>
      <c r="F42" s="128" t="s">
        <v>276</v>
      </c>
      <c r="G42" s="129">
        <f t="shared" si="1"/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V42" s="126"/>
    </row>
    <row r="43" spans="2:22">
      <c r="B43" s="127" t="s">
        <v>279</v>
      </c>
      <c r="C43" s="127" t="s">
        <v>177</v>
      </c>
      <c r="D43" s="126" t="s">
        <v>199</v>
      </c>
      <c r="E43" s="175" t="s">
        <v>195</v>
      </c>
      <c r="F43" s="131" t="s">
        <v>277</v>
      </c>
      <c r="G43" s="129">
        <f t="shared" si="1"/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V43" s="126"/>
    </row>
    <row r="44" spans="2:22">
      <c r="B44" s="127" t="s">
        <v>279</v>
      </c>
      <c r="C44" s="127" t="s">
        <v>177</v>
      </c>
      <c r="D44" s="126" t="s">
        <v>199</v>
      </c>
      <c r="E44" s="175" t="s">
        <v>195</v>
      </c>
      <c r="F44" s="132" t="s">
        <v>278</v>
      </c>
      <c r="G44" s="129">
        <f t="shared" si="1"/>
        <v>0</v>
      </c>
      <c r="H44" s="130">
        <v>0</v>
      </c>
      <c r="I44" s="130">
        <v>0</v>
      </c>
      <c r="J44" s="130">
        <v>0</v>
      </c>
      <c r="K44" s="130">
        <v>0</v>
      </c>
      <c r="L44" s="130">
        <v>0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V44" s="126"/>
    </row>
    <row r="45" spans="2:22">
      <c r="B45" s="127" t="s">
        <v>279</v>
      </c>
      <c r="C45" s="127" t="s">
        <v>177</v>
      </c>
      <c r="D45" s="126" t="s">
        <v>199</v>
      </c>
      <c r="E45" s="175" t="s">
        <v>195</v>
      </c>
      <c r="F45" s="132" t="s">
        <v>218</v>
      </c>
      <c r="G45" s="129">
        <f t="shared" si="1"/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V45" s="126"/>
    </row>
    <row r="46" spans="2:22">
      <c r="B46" s="127" t="s">
        <v>279</v>
      </c>
      <c r="C46" s="127" t="s">
        <v>177</v>
      </c>
      <c r="D46" s="126" t="s">
        <v>199</v>
      </c>
      <c r="E46" s="175" t="s">
        <v>195</v>
      </c>
      <c r="F46" s="132" t="s">
        <v>219</v>
      </c>
      <c r="G46" s="129">
        <f t="shared" si="1"/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0</v>
      </c>
      <c r="Q46" s="130">
        <v>0</v>
      </c>
      <c r="R46" s="130">
        <v>0</v>
      </c>
      <c r="S46" s="130">
        <v>0</v>
      </c>
      <c r="V46" s="126"/>
    </row>
    <row r="47" spans="2:22">
      <c r="B47" s="127" t="s">
        <v>279</v>
      </c>
      <c r="C47" s="127" t="s">
        <v>177</v>
      </c>
      <c r="D47" s="126" t="s">
        <v>199</v>
      </c>
      <c r="E47" s="175" t="s">
        <v>195</v>
      </c>
      <c r="F47" s="132" t="s">
        <v>220</v>
      </c>
      <c r="G47" s="129">
        <f t="shared" si="1"/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V47" s="126"/>
    </row>
    <row r="48" spans="2:22">
      <c r="B48" s="127" t="s">
        <v>279</v>
      </c>
      <c r="C48" s="127" t="s">
        <v>177</v>
      </c>
      <c r="D48" s="126" t="s">
        <v>200</v>
      </c>
      <c r="E48" s="175" t="s">
        <v>195</v>
      </c>
      <c r="F48" s="128" t="s">
        <v>276</v>
      </c>
      <c r="G48" s="129">
        <f t="shared" si="1"/>
        <v>0</v>
      </c>
      <c r="H48" s="130">
        <v>0</v>
      </c>
      <c r="I48" s="130">
        <v>0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0">
        <v>0</v>
      </c>
      <c r="R48" s="130">
        <v>0</v>
      </c>
      <c r="S48" s="130">
        <v>0</v>
      </c>
      <c r="V48" s="126"/>
    </row>
    <row r="49" spans="2:22">
      <c r="B49" s="127" t="s">
        <v>279</v>
      </c>
      <c r="C49" s="127" t="s">
        <v>177</v>
      </c>
      <c r="D49" s="126" t="s">
        <v>200</v>
      </c>
      <c r="E49" s="175" t="s">
        <v>195</v>
      </c>
      <c r="F49" s="131" t="s">
        <v>277</v>
      </c>
      <c r="G49" s="129">
        <f t="shared" si="1"/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V49" s="126"/>
    </row>
    <row r="50" spans="2:22">
      <c r="B50" s="127" t="s">
        <v>279</v>
      </c>
      <c r="C50" s="127" t="s">
        <v>177</v>
      </c>
      <c r="D50" s="126" t="s">
        <v>200</v>
      </c>
      <c r="E50" s="175" t="s">
        <v>195</v>
      </c>
      <c r="F50" s="132" t="s">
        <v>278</v>
      </c>
      <c r="G50" s="129">
        <f t="shared" si="1"/>
        <v>0</v>
      </c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130">
        <v>0</v>
      </c>
      <c r="S50" s="130">
        <v>0</v>
      </c>
      <c r="V50" s="126"/>
    </row>
    <row r="51" spans="2:22">
      <c r="B51" s="127" t="s">
        <v>279</v>
      </c>
      <c r="C51" s="127" t="s">
        <v>177</v>
      </c>
      <c r="D51" s="126" t="s">
        <v>200</v>
      </c>
      <c r="E51" s="175" t="s">
        <v>195</v>
      </c>
      <c r="F51" s="132" t="s">
        <v>218</v>
      </c>
      <c r="G51" s="129">
        <f t="shared" si="1"/>
        <v>4.833333333333333</v>
      </c>
      <c r="H51" s="130">
        <v>4</v>
      </c>
      <c r="I51" s="130">
        <v>4</v>
      </c>
      <c r="J51" s="130">
        <v>5</v>
      </c>
      <c r="K51" s="130">
        <v>5</v>
      </c>
      <c r="L51" s="130">
        <v>5</v>
      </c>
      <c r="M51" s="130">
        <v>5</v>
      </c>
      <c r="N51" s="130">
        <v>5</v>
      </c>
      <c r="O51" s="130">
        <v>5</v>
      </c>
      <c r="P51" s="130">
        <v>5</v>
      </c>
      <c r="Q51" s="130">
        <v>5</v>
      </c>
      <c r="R51" s="130">
        <v>5</v>
      </c>
      <c r="S51" s="130">
        <v>5</v>
      </c>
      <c r="V51" s="126"/>
    </row>
    <row r="52" spans="2:22">
      <c r="B52" s="127" t="s">
        <v>279</v>
      </c>
      <c r="C52" s="127" t="s">
        <v>177</v>
      </c>
      <c r="D52" s="126" t="s">
        <v>200</v>
      </c>
      <c r="E52" s="175" t="s">
        <v>195</v>
      </c>
      <c r="F52" s="132" t="s">
        <v>219</v>
      </c>
      <c r="G52" s="129">
        <f t="shared" si="1"/>
        <v>5</v>
      </c>
      <c r="H52" s="130">
        <v>5</v>
      </c>
      <c r="I52" s="130">
        <v>5</v>
      </c>
      <c r="J52" s="130">
        <v>5</v>
      </c>
      <c r="K52" s="130">
        <v>5</v>
      </c>
      <c r="L52" s="130">
        <v>5</v>
      </c>
      <c r="M52" s="130">
        <v>5</v>
      </c>
      <c r="N52" s="130">
        <v>5</v>
      </c>
      <c r="O52" s="130">
        <v>5</v>
      </c>
      <c r="P52" s="130">
        <v>5</v>
      </c>
      <c r="Q52" s="130">
        <v>5</v>
      </c>
      <c r="R52" s="130">
        <v>5</v>
      </c>
      <c r="S52" s="130">
        <v>5</v>
      </c>
      <c r="V52" s="126"/>
    </row>
    <row r="53" spans="2:22">
      <c r="B53" s="127" t="s">
        <v>279</v>
      </c>
      <c r="C53" s="127" t="s">
        <v>177</v>
      </c>
      <c r="D53" s="126" t="s">
        <v>200</v>
      </c>
      <c r="E53" s="175" t="s">
        <v>195</v>
      </c>
      <c r="F53" s="132" t="s">
        <v>220</v>
      </c>
      <c r="G53" s="137">
        <f t="shared" si="1"/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V53" s="134">
        <f>'Normalized Summary'!E21+'Normalized Summary'!E37+'Normalized Summary'!E55-SUM(G30:G53)</f>
        <v>0</v>
      </c>
    </row>
    <row r="54" spans="2:22">
      <c r="B54" s="124"/>
      <c r="C54" s="124"/>
      <c r="D54" s="119"/>
      <c r="E54" s="176"/>
      <c r="F54" s="120"/>
      <c r="G54" s="179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V54" s="126"/>
    </row>
    <row r="55" spans="2:22">
      <c r="B55" s="127" t="s">
        <v>152</v>
      </c>
      <c r="C55" s="127" t="s">
        <v>195</v>
      </c>
      <c r="D55" s="126" t="s">
        <v>199</v>
      </c>
      <c r="E55" s="175" t="s">
        <v>195</v>
      </c>
      <c r="F55" s="128" t="s">
        <v>276</v>
      </c>
      <c r="G55" s="129">
        <f t="shared" ref="G55:G66" si="2">SUM(H55:S55)/IF(OR(B55="Schedule 40",E55="Annual Bill"),1,12)</f>
        <v>667.17906004130259</v>
      </c>
      <c r="H55" s="130">
        <v>1.2111490221156687</v>
      </c>
      <c r="I55" s="130">
        <v>0.66584472427294938</v>
      </c>
      <c r="J55" s="130">
        <v>1.6110978366072406</v>
      </c>
      <c r="K55" s="130">
        <v>2.5288286369857524</v>
      </c>
      <c r="L55" s="130">
        <v>652.78941331098713</v>
      </c>
      <c r="M55" s="130">
        <v>1.643835616438356E-2</v>
      </c>
      <c r="N55" s="130">
        <v>8.4969389909225257E-2</v>
      </c>
      <c r="O55" s="130">
        <v>0.11779607346421787</v>
      </c>
      <c r="P55" s="130">
        <v>1.3725986911547394</v>
      </c>
      <c r="Q55" s="130">
        <v>0.38632045598480053</v>
      </c>
      <c r="R55" s="130">
        <v>1.7451973823094786</v>
      </c>
      <c r="S55" s="130">
        <v>4.6494061613471329</v>
      </c>
      <c r="V55" s="126"/>
    </row>
    <row r="56" spans="2:22">
      <c r="B56" s="127" t="s">
        <v>152</v>
      </c>
      <c r="C56" s="127" t="s">
        <v>195</v>
      </c>
      <c r="D56" s="126" t="s">
        <v>199</v>
      </c>
      <c r="E56" s="175" t="s">
        <v>195</v>
      </c>
      <c r="F56" s="131" t="s">
        <v>277</v>
      </c>
      <c r="G56" s="129">
        <f t="shared" si="2"/>
        <v>301.48740094974949</v>
      </c>
      <c r="H56" s="130">
        <v>0.17532193371332067</v>
      </c>
      <c r="I56" s="130">
        <v>0</v>
      </c>
      <c r="J56" s="130">
        <v>0.79726027397260268</v>
      </c>
      <c r="K56" s="130">
        <v>4.1645112159786128</v>
      </c>
      <c r="L56" s="130">
        <v>292.69541728574438</v>
      </c>
      <c r="M56" s="130">
        <v>0.10686406343532842</v>
      </c>
      <c r="N56" s="130">
        <v>0</v>
      </c>
      <c r="O56" s="130">
        <v>0.15072830905636478</v>
      </c>
      <c r="P56" s="130">
        <v>0.41925269157694744</v>
      </c>
      <c r="Q56" s="130">
        <v>0.67943846316233913</v>
      </c>
      <c r="R56" s="130">
        <v>0.88769263246780672</v>
      </c>
      <c r="S56" s="130">
        <v>1.4109140806417564</v>
      </c>
      <c r="V56" s="126"/>
    </row>
    <row r="57" spans="2:22">
      <c r="B57" s="127" t="s">
        <v>152</v>
      </c>
      <c r="C57" s="127" t="s">
        <v>195</v>
      </c>
      <c r="D57" s="126" t="s">
        <v>199</v>
      </c>
      <c r="E57" s="175" t="s">
        <v>195</v>
      </c>
      <c r="F57" s="132" t="s">
        <v>278</v>
      </c>
      <c r="G57" s="129">
        <f t="shared" si="2"/>
        <v>35.115068493150687</v>
      </c>
      <c r="H57" s="130">
        <v>0</v>
      </c>
      <c r="I57" s="130">
        <v>0</v>
      </c>
      <c r="J57" s="130">
        <v>0</v>
      </c>
      <c r="K57" s="130">
        <v>0</v>
      </c>
      <c r="L57" s="130">
        <v>35.115068493150687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V57" s="126"/>
    </row>
    <row r="58" spans="2:22">
      <c r="B58" s="127" t="s">
        <v>152</v>
      </c>
      <c r="C58" s="127" t="s">
        <v>195</v>
      </c>
      <c r="D58" s="126" t="s">
        <v>199</v>
      </c>
      <c r="E58" s="175" t="s">
        <v>195</v>
      </c>
      <c r="F58" s="132" t="s">
        <v>218</v>
      </c>
      <c r="G58" s="129">
        <f t="shared" si="2"/>
        <v>1</v>
      </c>
      <c r="H58" s="130">
        <v>0</v>
      </c>
      <c r="I58" s="130">
        <v>0</v>
      </c>
      <c r="J58" s="130">
        <v>0</v>
      </c>
      <c r="K58" s="130">
        <v>0</v>
      </c>
      <c r="L58" s="130">
        <v>1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V58" s="126"/>
    </row>
    <row r="59" spans="2:22">
      <c r="B59" s="127" t="s">
        <v>152</v>
      </c>
      <c r="C59" s="127" t="s">
        <v>195</v>
      </c>
      <c r="D59" s="126" t="s">
        <v>199</v>
      </c>
      <c r="E59" s="175" t="s">
        <v>195</v>
      </c>
      <c r="F59" s="132" t="s">
        <v>219</v>
      </c>
      <c r="G59" s="129">
        <f t="shared" si="2"/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V59" s="126"/>
    </row>
    <row r="60" spans="2:22">
      <c r="B60" s="127" t="s">
        <v>152</v>
      </c>
      <c r="C60" s="127" t="s">
        <v>195</v>
      </c>
      <c r="D60" s="126" t="s">
        <v>199</v>
      </c>
      <c r="E60" s="175" t="s">
        <v>195</v>
      </c>
      <c r="F60" s="132" t="s">
        <v>220</v>
      </c>
      <c r="G60" s="129">
        <f t="shared" si="2"/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130">
        <v>0</v>
      </c>
      <c r="N60" s="130">
        <v>0</v>
      </c>
      <c r="O60" s="130">
        <v>0</v>
      </c>
      <c r="P60" s="130">
        <v>0</v>
      </c>
      <c r="Q60" s="130">
        <v>0</v>
      </c>
      <c r="R60" s="130">
        <v>0</v>
      </c>
      <c r="S60" s="130">
        <v>0</v>
      </c>
      <c r="V60" s="126"/>
    </row>
    <row r="61" spans="2:22">
      <c r="B61" s="127" t="s">
        <v>152</v>
      </c>
      <c r="C61" s="127" t="s">
        <v>195</v>
      </c>
      <c r="D61" s="126" t="s">
        <v>200</v>
      </c>
      <c r="E61" s="175" t="s">
        <v>195</v>
      </c>
      <c r="F61" s="128" t="s">
        <v>276</v>
      </c>
      <c r="G61" s="129">
        <f t="shared" si="2"/>
        <v>804.1870461182574</v>
      </c>
      <c r="H61" s="130">
        <v>2.9945345975148667</v>
      </c>
      <c r="I61" s="130">
        <v>6.3479014666403977</v>
      </c>
      <c r="J61" s="130">
        <v>6.2027829470941285</v>
      </c>
      <c r="K61" s="130">
        <v>6.3287102265919293</v>
      </c>
      <c r="L61" s="130">
        <v>773.30215016834757</v>
      </c>
      <c r="M61" s="130">
        <v>9.8626377598676679E-2</v>
      </c>
      <c r="N61" s="130">
        <v>0.93424108085286051</v>
      </c>
      <c r="O61" s="130">
        <v>0.44384631623390336</v>
      </c>
      <c r="P61" s="130">
        <v>1.071247625079164</v>
      </c>
      <c r="Q61" s="130">
        <v>2.7369498642282704</v>
      </c>
      <c r="R61" s="130">
        <v>1.6712581802828796</v>
      </c>
      <c r="S61" s="130">
        <v>2.0547972677927477</v>
      </c>
      <c r="V61" s="126"/>
    </row>
    <row r="62" spans="2:22">
      <c r="B62" s="127" t="s">
        <v>152</v>
      </c>
      <c r="C62" s="127" t="s">
        <v>195</v>
      </c>
      <c r="D62" s="126" t="s">
        <v>200</v>
      </c>
      <c r="E62" s="175" t="s">
        <v>195</v>
      </c>
      <c r="F62" s="131" t="s">
        <v>277</v>
      </c>
      <c r="G62" s="129">
        <f t="shared" si="2"/>
        <v>859.27562595751363</v>
      </c>
      <c r="H62" s="130">
        <v>1.1397076040197085</v>
      </c>
      <c r="I62" s="130">
        <v>2.0574934958407827</v>
      </c>
      <c r="J62" s="130">
        <v>0.77260079981729157</v>
      </c>
      <c r="K62" s="130">
        <v>5.0657352544107077</v>
      </c>
      <c r="L62" s="130">
        <v>840.40733687384716</v>
      </c>
      <c r="M62" s="130">
        <v>0.18629934557736966</v>
      </c>
      <c r="N62" s="130">
        <v>0.6740025332488917</v>
      </c>
      <c r="O62" s="130">
        <v>1.4793645767363313</v>
      </c>
      <c r="P62" s="130">
        <v>1.6629723453662655</v>
      </c>
      <c r="Q62" s="130">
        <v>1.7533776651889381</v>
      </c>
      <c r="R62" s="130">
        <v>2.0109774118640491</v>
      </c>
      <c r="S62" s="130">
        <v>2.0657580515961493</v>
      </c>
      <c r="V62" s="126"/>
    </row>
    <row r="63" spans="2:22">
      <c r="B63" s="127" t="s">
        <v>152</v>
      </c>
      <c r="C63" s="127" t="s">
        <v>195</v>
      </c>
      <c r="D63" s="126" t="s">
        <v>200</v>
      </c>
      <c r="E63" s="175" t="s">
        <v>195</v>
      </c>
      <c r="F63" s="132" t="s">
        <v>278</v>
      </c>
      <c r="G63" s="129">
        <f t="shared" si="2"/>
        <v>2322.0521429840292</v>
      </c>
      <c r="H63" s="130">
        <v>1.3232876712328767</v>
      </c>
      <c r="I63" s="130">
        <v>8.4328767123287705</v>
      </c>
      <c r="J63" s="130">
        <v>6.9178082191780828</v>
      </c>
      <c r="K63" s="130">
        <v>15.400000000000007</v>
      </c>
      <c r="L63" s="130">
        <v>2271.5590658963406</v>
      </c>
      <c r="M63" s="130">
        <v>7.6731704072573556E-2</v>
      </c>
      <c r="N63" s="130">
        <v>1.440996411230737</v>
      </c>
      <c r="O63" s="130">
        <v>2.6383259446907332</v>
      </c>
      <c r="P63" s="130">
        <v>1.3616212792906905</v>
      </c>
      <c r="Q63" s="130">
        <v>4.1451868271057641</v>
      </c>
      <c r="R63" s="130">
        <v>4.5424724046489171</v>
      </c>
      <c r="S63" s="130">
        <v>4.2137699139100233</v>
      </c>
      <c r="V63" s="126"/>
    </row>
    <row r="64" spans="2:22">
      <c r="B64" s="127" t="s">
        <v>152</v>
      </c>
      <c r="C64" s="127" t="s">
        <v>195</v>
      </c>
      <c r="D64" s="126" t="s">
        <v>200</v>
      </c>
      <c r="E64" s="175" t="s">
        <v>195</v>
      </c>
      <c r="F64" s="132" t="s">
        <v>218</v>
      </c>
      <c r="G64" s="129">
        <f t="shared" si="2"/>
        <v>137.56713016786426</v>
      </c>
      <c r="H64" s="130">
        <v>0</v>
      </c>
      <c r="I64" s="130">
        <v>0</v>
      </c>
      <c r="J64" s="130">
        <v>0</v>
      </c>
      <c r="K64" s="130">
        <v>0</v>
      </c>
      <c r="L64" s="130">
        <v>136.05483205420927</v>
      </c>
      <c r="M64" s="130">
        <v>0</v>
      </c>
      <c r="N64" s="130">
        <v>0</v>
      </c>
      <c r="O64" s="130">
        <v>0.19453240447540637</v>
      </c>
      <c r="P64" s="130">
        <v>0</v>
      </c>
      <c r="Q64" s="130">
        <v>0.91228625712476252</v>
      </c>
      <c r="R64" s="130">
        <v>0.40547945205479452</v>
      </c>
      <c r="S64" s="130">
        <v>0</v>
      </c>
      <c r="V64" s="126"/>
    </row>
    <row r="65" spans="2:22">
      <c r="B65" s="127" t="s">
        <v>152</v>
      </c>
      <c r="C65" s="127" t="s">
        <v>195</v>
      </c>
      <c r="D65" s="126" t="s">
        <v>200</v>
      </c>
      <c r="E65" s="175" t="s">
        <v>195</v>
      </c>
      <c r="F65" s="132" t="s">
        <v>219</v>
      </c>
      <c r="G65" s="129">
        <f t="shared" si="2"/>
        <v>13</v>
      </c>
      <c r="H65" s="130">
        <v>0</v>
      </c>
      <c r="I65" s="130">
        <v>0</v>
      </c>
      <c r="J65" s="130">
        <v>0</v>
      </c>
      <c r="K65" s="130">
        <v>0</v>
      </c>
      <c r="L65" s="130">
        <v>13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V65" s="126"/>
    </row>
    <row r="66" spans="2:22">
      <c r="B66" s="135" t="s">
        <v>152</v>
      </c>
      <c r="C66" s="135" t="s">
        <v>195</v>
      </c>
      <c r="D66" s="134" t="s">
        <v>200</v>
      </c>
      <c r="E66" s="177" t="s">
        <v>195</v>
      </c>
      <c r="F66" s="136" t="s">
        <v>220</v>
      </c>
      <c r="G66" s="137">
        <f t="shared" si="2"/>
        <v>0</v>
      </c>
      <c r="H66" s="138">
        <v>0</v>
      </c>
      <c r="I66" s="138">
        <v>0</v>
      </c>
      <c r="J66" s="138">
        <v>0</v>
      </c>
      <c r="K66" s="138">
        <v>0</v>
      </c>
      <c r="L66" s="138">
        <v>0</v>
      </c>
      <c r="M66" s="138">
        <v>0</v>
      </c>
      <c r="N66" s="138">
        <v>0</v>
      </c>
      <c r="O66" s="138">
        <v>0</v>
      </c>
      <c r="P66" s="138">
        <v>0</v>
      </c>
      <c r="Q66" s="138">
        <v>0</v>
      </c>
      <c r="R66" s="138">
        <v>0</v>
      </c>
      <c r="S66" s="138">
        <v>0</v>
      </c>
      <c r="V66" s="134">
        <f>ROUND('Normalized Summary'!E74-SUM(G55:G66),9)</f>
        <v>0</v>
      </c>
    </row>
    <row r="68" spans="2:22">
      <c r="G68" s="139"/>
    </row>
    <row r="69" spans="2:22">
      <c r="F69" s="114"/>
    </row>
  </sheetData>
  <printOptions horizontalCentered="1"/>
  <pageMargins left="0.22" right="0.5" top="0.5" bottom="0.55000000000000004" header="0.5" footer="0.38"/>
  <pageSetup scale="47" orientation="landscape" r:id="rId1"/>
  <headerFooter alignWithMargins="0"/>
  <ignoredErrors>
    <ignoredError sqref="F54:F66 F5:F10 F17:F22 F29:F53 F11:F16 F23:F2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0F8-D2E0-41B1-AB5F-66C79679F0F0}">
  <sheetPr>
    <pageSetUpPr autoPageBreaks="0"/>
  </sheetPr>
  <dimension ref="B2:N4"/>
  <sheetViews>
    <sheetView showGridLines="0" zoomScale="70" zoomScaleNormal="70" zoomScaleSheetLayoutView="70" workbookViewId="0"/>
  </sheetViews>
  <sheetFormatPr defaultRowHeight="15.75"/>
  <cols>
    <col min="1" max="1" width="0.875" customWidth="1"/>
    <col min="2" max="2" width="15.125" style="209" customWidth="1"/>
    <col min="3" max="14" width="15.125" customWidth="1"/>
    <col min="15" max="15" width="0.875" customWidth="1"/>
  </cols>
  <sheetData>
    <row r="2" spans="2:14">
      <c r="B2" s="274" t="s">
        <v>379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8"/>
    </row>
    <row r="3" spans="2:14">
      <c r="B3" s="211" t="s">
        <v>217</v>
      </c>
      <c r="C3" s="210">
        <v>44378</v>
      </c>
      <c r="D3" s="210">
        <v>44409</v>
      </c>
      <c r="E3" s="210">
        <v>44440</v>
      </c>
      <c r="F3" s="210">
        <v>44470</v>
      </c>
      <c r="G3" s="210">
        <v>44501</v>
      </c>
      <c r="H3" s="210">
        <v>44531</v>
      </c>
      <c r="I3" s="210">
        <v>44562</v>
      </c>
      <c r="J3" s="210">
        <v>44593</v>
      </c>
      <c r="K3" s="210">
        <v>44621</v>
      </c>
      <c r="L3" s="210">
        <v>44652</v>
      </c>
      <c r="M3" s="210">
        <v>44682</v>
      </c>
      <c r="N3" s="210">
        <v>44713</v>
      </c>
    </row>
    <row r="4" spans="2:14">
      <c r="B4" s="213">
        <f>SUM(C4:N4)/12</f>
        <v>3432</v>
      </c>
      <c r="C4" s="212">
        <v>4470</v>
      </c>
      <c r="D4" s="212">
        <v>4439</v>
      </c>
      <c r="E4" s="212">
        <v>4390</v>
      </c>
      <c r="F4" s="212">
        <v>4080</v>
      </c>
      <c r="G4" s="212">
        <v>5147</v>
      </c>
      <c r="H4" s="212">
        <v>1893</v>
      </c>
      <c r="I4" s="212">
        <v>1821</v>
      </c>
      <c r="J4" s="212">
        <v>1751</v>
      </c>
      <c r="K4" s="212">
        <v>2062</v>
      </c>
      <c r="L4" s="212">
        <v>3201</v>
      </c>
      <c r="M4" s="212">
        <v>3778</v>
      </c>
      <c r="N4" s="212">
        <v>4152</v>
      </c>
    </row>
  </sheetData>
  <pageMargins left="0.7" right="0.7" top="0.75" bottom="0.75" header="0.3" footer="0.3"/>
  <pageSetup scale="4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C501-BE83-455E-BF52-996D377EA438}">
  <sheetPr>
    <pageSetUpPr autoPageBreaks="0" fitToPage="1"/>
  </sheetPr>
  <dimension ref="A1:J151"/>
  <sheetViews>
    <sheetView zoomScale="70" zoomScaleNormal="70" workbookViewId="0">
      <pane ySplit="2" topLeftCell="A3" activePane="bottomLeft" state="frozen"/>
      <selection pane="bottomLeft" activeCell="A3" sqref="A3"/>
    </sheetView>
  </sheetViews>
  <sheetFormatPr defaultRowHeight="15.75"/>
  <cols>
    <col min="1" max="1" width="12.625" style="112" bestFit="1" customWidth="1"/>
    <col min="2" max="2" width="15.125" style="112" bestFit="1" customWidth="1"/>
    <col min="3" max="3" width="50.625" style="112" bestFit="1" customWidth="1"/>
    <col min="4" max="4" width="14" style="112" bestFit="1" customWidth="1"/>
    <col min="5" max="5" width="15.125" style="112" bestFit="1" customWidth="1"/>
    <col min="6" max="6" width="13.375" style="112" bestFit="1" customWidth="1"/>
    <col min="7" max="7" width="11.875" style="112" bestFit="1" customWidth="1"/>
    <col min="8" max="8" width="14" style="27" bestFit="1" customWidth="1"/>
    <col min="9" max="9" width="15.125" style="27" bestFit="1" customWidth="1"/>
    <col min="10" max="10" width="28.75" style="27" bestFit="1" customWidth="1"/>
    <col min="11" max="16384" width="9" style="112"/>
  </cols>
  <sheetData>
    <row r="1" spans="1:10" s="27" customFormat="1">
      <c r="A1" s="164"/>
      <c r="B1" s="164" t="s">
        <v>9</v>
      </c>
      <c r="C1" s="164"/>
      <c r="D1" s="164"/>
      <c r="E1" s="164"/>
      <c r="F1" s="164"/>
      <c r="G1" s="164"/>
      <c r="H1" s="165" t="s">
        <v>357</v>
      </c>
      <c r="I1" s="165"/>
      <c r="J1" s="164"/>
    </row>
    <row r="2" spans="1:10" s="27" customFormat="1">
      <c r="A2" s="166" t="s">
        <v>153</v>
      </c>
      <c r="B2" s="166" t="s">
        <v>212</v>
      </c>
      <c r="C2" s="166" t="s">
        <v>211</v>
      </c>
      <c r="D2" s="166" t="s">
        <v>214</v>
      </c>
      <c r="E2" s="166" t="s">
        <v>6</v>
      </c>
      <c r="F2" s="166" t="s">
        <v>29</v>
      </c>
      <c r="G2" s="166" t="s">
        <v>222</v>
      </c>
      <c r="H2" s="166" t="s">
        <v>214</v>
      </c>
      <c r="I2" s="162" t="s">
        <v>6</v>
      </c>
      <c r="J2" s="166" t="s">
        <v>210</v>
      </c>
    </row>
    <row r="3" spans="1:10">
      <c r="A3" s="112" t="s">
        <v>5</v>
      </c>
      <c r="B3" s="112" t="s">
        <v>288</v>
      </c>
      <c r="C3" s="112" t="s">
        <v>102</v>
      </c>
      <c r="D3" s="112">
        <v>18030</v>
      </c>
      <c r="E3" s="112">
        <v>27342095</v>
      </c>
      <c r="F3" s="112">
        <v>-253580.78</v>
      </c>
      <c r="G3" s="112">
        <v>0</v>
      </c>
      <c r="H3" s="27">
        <f>IF(AND(B3&lt;&gt;"B",J3&lt;&gt;"Blue Sky",J3&lt;&gt;"Ignore"),D3,0)</f>
        <v>0</v>
      </c>
      <c r="I3" s="27" cm="1">
        <f t="array" ref="I3">IF(OR(B3={"R","U"}),E3,0)</f>
        <v>0</v>
      </c>
      <c r="J3" s="27" t="str">
        <f>IF(B3="U","Unbilled",INDEX(Code!B:B,MATCH(LEFT(C3,10),Code!A:A,0)))</f>
        <v>Schedule 24</v>
      </c>
    </row>
    <row r="4" spans="1:10">
      <c r="A4" s="112" t="s">
        <v>5</v>
      </c>
      <c r="B4" s="112" t="s">
        <v>288</v>
      </c>
      <c r="C4" s="112" t="s">
        <v>95</v>
      </c>
      <c r="D4" s="112">
        <v>12</v>
      </c>
      <c r="E4" s="112">
        <v>868</v>
      </c>
      <c r="F4" s="112">
        <v>-8.11</v>
      </c>
      <c r="G4" s="112">
        <v>0</v>
      </c>
      <c r="H4" s="27">
        <f t="shared" ref="H4:H67" si="0">IF(AND(B4&lt;&gt;"B",J4&lt;&gt;"Blue Sky",J4&lt;&gt;"Ignore"),D4,0)</f>
        <v>0</v>
      </c>
      <c r="I4" s="27" cm="1">
        <f t="array" ref="I4">IF(OR(B4={"R","U"}),E4,0)</f>
        <v>0</v>
      </c>
      <c r="J4" s="27" t="str">
        <f>IF(B4="U","Unbilled",INDEX(Code!B:B,MATCH(LEFT(C4,10),Code!A:A,0)))</f>
        <v>Schedule 24</v>
      </c>
    </row>
    <row r="5" spans="1:10">
      <c r="A5" s="112" t="s">
        <v>5</v>
      </c>
      <c r="B5" s="112" t="s">
        <v>288</v>
      </c>
      <c r="C5" s="112" t="s">
        <v>103</v>
      </c>
      <c r="D5" s="112">
        <v>782</v>
      </c>
      <c r="E5" s="112">
        <v>356050</v>
      </c>
      <c r="F5" s="112">
        <v>-3532.49</v>
      </c>
      <c r="G5" s="112">
        <v>0</v>
      </c>
      <c r="H5" s="27">
        <f t="shared" si="0"/>
        <v>0</v>
      </c>
      <c r="I5" s="27" cm="1">
        <f t="array" ref="I5">IF(OR(B5={"R","U"}),E5,0)</f>
        <v>0</v>
      </c>
      <c r="J5" s="27" t="str">
        <f>IF(B5="U","Unbilled",INDEX(Code!B:B,MATCH(LEFT(C5,10),Code!A:A,0)))</f>
        <v>Schedule 24</v>
      </c>
    </row>
    <row r="6" spans="1:10">
      <c r="A6" s="112" t="s">
        <v>5</v>
      </c>
      <c r="B6" s="112" t="s">
        <v>288</v>
      </c>
      <c r="C6" s="112" t="s">
        <v>99</v>
      </c>
      <c r="D6" s="112">
        <v>906</v>
      </c>
      <c r="E6" s="112">
        <v>41663167</v>
      </c>
      <c r="F6" s="112">
        <v>-386303.77</v>
      </c>
      <c r="G6" s="112">
        <v>0</v>
      </c>
      <c r="H6" s="27">
        <f t="shared" si="0"/>
        <v>0</v>
      </c>
      <c r="I6" s="27" cm="1">
        <f t="array" ref="I6">IF(OR(B6={"R","U"}),E6,0)</f>
        <v>0</v>
      </c>
      <c r="J6" s="27" t="str">
        <f>IF(B6="U","Unbilled",INDEX(Code!B:B,MATCH(LEFT(C6,10),Code!A:A,0)))</f>
        <v>Schedule 29,36</v>
      </c>
    </row>
    <row r="7" spans="1:10">
      <c r="A7" s="112" t="s">
        <v>5</v>
      </c>
      <c r="B7" s="112" t="s">
        <v>288</v>
      </c>
      <c r="C7" s="112" t="s">
        <v>289</v>
      </c>
      <c r="D7" s="112">
        <v>306</v>
      </c>
      <c r="E7" s="112">
        <v>127958</v>
      </c>
      <c r="F7" s="112">
        <v>-1177.43</v>
      </c>
      <c r="G7" s="112">
        <v>0</v>
      </c>
      <c r="H7" s="27">
        <f t="shared" si="0"/>
        <v>0</v>
      </c>
      <c r="I7" s="27" cm="1">
        <f t="array" ref="I7">IF(OR(B7={"R","U"}),E7,0)</f>
        <v>0</v>
      </c>
      <c r="J7" s="27" t="str">
        <f>IF(B7="U","Unbilled",INDEX(Code!B:B,MATCH(LEFT(C7,10),Code!A:A,0)))</f>
        <v>Schedule 24</v>
      </c>
    </row>
    <row r="8" spans="1:10">
      <c r="A8" s="112" t="s">
        <v>5</v>
      </c>
      <c r="B8" s="112" t="s">
        <v>288</v>
      </c>
      <c r="C8" s="112" t="s">
        <v>290</v>
      </c>
      <c r="D8" s="112">
        <v>3</v>
      </c>
      <c r="E8" s="112">
        <v>12960</v>
      </c>
      <c r="F8" s="112">
        <v>-133.36000000000001</v>
      </c>
      <c r="G8" s="112">
        <v>0</v>
      </c>
      <c r="H8" s="27">
        <f t="shared" si="0"/>
        <v>0</v>
      </c>
      <c r="I8" s="27" cm="1">
        <f t="array" ref="I8">IF(OR(B8={"R","U"}),E8,0)</f>
        <v>0</v>
      </c>
      <c r="J8" s="27" t="str">
        <f>IF(B8="U","Unbilled",INDEX(Code!B:B,MATCH(LEFT(C8,10),Code!A:A,0)))</f>
        <v>Schedule 29,36</v>
      </c>
    </row>
    <row r="9" spans="1:10">
      <c r="A9" s="112" t="s">
        <v>5</v>
      </c>
      <c r="B9" s="112" t="s">
        <v>288</v>
      </c>
      <c r="C9" s="112" t="s">
        <v>100</v>
      </c>
      <c r="E9" s="112">
        <v>127877</v>
      </c>
      <c r="F9" s="112">
        <v>-1217.43</v>
      </c>
      <c r="H9" s="27">
        <f t="shared" si="0"/>
        <v>0</v>
      </c>
      <c r="I9" s="27" cm="1">
        <f t="array" ref="I9">IF(OR(B9={"R","U"}),E9,0)</f>
        <v>0</v>
      </c>
      <c r="J9" s="27" t="str">
        <f>IF(B9="U","Unbilled",INDEX(Code!B:B,MATCH(LEFT(C9,10),Code!A:A,0)))</f>
        <v>Schedule 15</v>
      </c>
    </row>
    <row r="10" spans="1:10">
      <c r="A10" s="112" t="s">
        <v>5</v>
      </c>
      <c r="B10" s="112" t="s">
        <v>288</v>
      </c>
      <c r="C10" s="112" t="s">
        <v>50</v>
      </c>
      <c r="D10" s="112">
        <v>0</v>
      </c>
      <c r="E10" s="112">
        <v>0</v>
      </c>
      <c r="F10" s="112">
        <v>9184.99</v>
      </c>
      <c r="G10" s="112">
        <v>0</v>
      </c>
      <c r="H10" s="27">
        <f t="shared" si="0"/>
        <v>0</v>
      </c>
      <c r="I10" s="27" cm="1">
        <f t="array" ref="I10">IF(OR(B10={"R","U"}),E10,0)</f>
        <v>0</v>
      </c>
      <c r="J10" s="27" t="str">
        <f>IF(B10="U","Unbilled",INDEX(Code!B:B,MATCH(LEFT(C10,10),Code!A:A,0)))</f>
        <v>BPA Bal Acct</v>
      </c>
    </row>
    <row r="11" spans="1:10">
      <c r="A11" s="112" t="s">
        <v>5</v>
      </c>
      <c r="B11" s="112" t="s">
        <v>288</v>
      </c>
      <c r="C11" s="112" t="s">
        <v>51</v>
      </c>
      <c r="D11" s="112">
        <v>0</v>
      </c>
      <c r="G11" s="112">
        <v>19253</v>
      </c>
      <c r="H11" s="27">
        <f t="shared" si="0"/>
        <v>0</v>
      </c>
      <c r="I11" s="27" cm="1">
        <f t="array" ref="I11">IF(OR(B11={"R","U"}),E11,0)</f>
        <v>0</v>
      </c>
      <c r="J11" s="27" t="str">
        <f>IF(B11="U","Unbilled",INDEX(Code!B:B,MATCH(LEFT(C11,10),Code!A:A,0)))</f>
        <v>CustIDs</v>
      </c>
    </row>
    <row r="12" spans="1:10">
      <c r="A12" s="112" t="s">
        <v>5</v>
      </c>
      <c r="B12" s="112" t="s">
        <v>154</v>
      </c>
      <c r="C12" s="112" t="s">
        <v>291</v>
      </c>
      <c r="D12" s="112">
        <v>36</v>
      </c>
      <c r="E12" s="112">
        <v>69815</v>
      </c>
      <c r="F12" s="112">
        <v>12223.87</v>
      </c>
      <c r="G12" s="112">
        <v>0</v>
      </c>
      <c r="H12" s="27">
        <f t="shared" si="0"/>
        <v>36</v>
      </c>
      <c r="I12" s="27" cm="1">
        <f t="array" ref="I12">IF(OR(B12={"R","U"}),E12,0)</f>
        <v>69815</v>
      </c>
      <c r="J12" s="27" t="str">
        <f>IF(B12="U","Unbilled",INDEX(Code!B:B,MATCH(LEFT(C12,10),Code!A:A,0)))</f>
        <v>Schedule 24</v>
      </c>
    </row>
    <row r="13" spans="1:10">
      <c r="A13" s="112" t="s">
        <v>5</v>
      </c>
      <c r="B13" s="112" t="s">
        <v>154</v>
      </c>
      <c r="C13" s="112" t="s">
        <v>96</v>
      </c>
      <c r="D13" s="112">
        <v>18030</v>
      </c>
      <c r="E13" s="112">
        <v>27342077</v>
      </c>
      <c r="F13" s="112">
        <v>2762437.29</v>
      </c>
      <c r="G13" s="112">
        <v>0</v>
      </c>
      <c r="H13" s="27">
        <f t="shared" si="0"/>
        <v>18030</v>
      </c>
      <c r="I13" s="27" cm="1">
        <f t="array" ref="I13">IF(OR(B13={"R","U"}),E13,0)</f>
        <v>27342077</v>
      </c>
      <c r="J13" s="27" t="str">
        <f>IF(B13="U","Unbilled",INDEX(Code!B:B,MATCH(LEFT(C13,10),Code!A:A,0)))</f>
        <v>Schedule 24</v>
      </c>
    </row>
    <row r="14" spans="1:10">
      <c r="A14" s="112" t="s">
        <v>5</v>
      </c>
      <c r="B14" s="112" t="s">
        <v>154</v>
      </c>
      <c r="C14" s="112" t="s">
        <v>105</v>
      </c>
      <c r="D14" s="112">
        <v>12</v>
      </c>
      <c r="E14" s="112">
        <v>868</v>
      </c>
      <c r="F14" s="112">
        <v>214.13</v>
      </c>
      <c r="G14" s="112">
        <v>0</v>
      </c>
      <c r="H14" s="27">
        <f t="shared" si="0"/>
        <v>12</v>
      </c>
      <c r="I14" s="27" cm="1">
        <f t="array" ref="I14">IF(OR(B14={"R","U"}),E14,0)</f>
        <v>868</v>
      </c>
      <c r="J14" s="27" t="str">
        <f>IF(B14="U","Unbilled",INDEX(Code!B:B,MATCH(LEFT(C14,10),Code!A:A,0)))</f>
        <v>Schedule 24</v>
      </c>
    </row>
    <row r="15" spans="1:10">
      <c r="A15" s="112" t="s">
        <v>5</v>
      </c>
      <c r="B15" s="112" t="s">
        <v>154</v>
      </c>
      <c r="C15" s="112" t="s">
        <v>97</v>
      </c>
      <c r="D15" s="112">
        <v>782</v>
      </c>
      <c r="E15" s="112">
        <v>368947</v>
      </c>
      <c r="F15" s="112">
        <v>89557.98</v>
      </c>
      <c r="G15" s="112">
        <v>0</v>
      </c>
      <c r="H15" s="27">
        <f t="shared" si="0"/>
        <v>782</v>
      </c>
      <c r="I15" s="27" cm="1">
        <f t="array" ref="I15">IF(OR(B15={"R","U"}),E15,0)</f>
        <v>368947</v>
      </c>
      <c r="J15" s="27" t="str">
        <f>IF(B15="U","Unbilled",INDEX(Code!B:B,MATCH(LEFT(C15,10),Code!A:A,0)))</f>
        <v>Schedule 24</v>
      </c>
    </row>
    <row r="16" spans="1:10">
      <c r="A16" s="112" t="s">
        <v>5</v>
      </c>
      <c r="B16" s="112" t="s">
        <v>154</v>
      </c>
      <c r="C16" s="112" t="s">
        <v>36</v>
      </c>
      <c r="D16" s="112">
        <v>178735</v>
      </c>
      <c r="E16" s="112">
        <v>474167825</v>
      </c>
      <c r="F16" s="112">
        <v>45228212.670000002</v>
      </c>
      <c r="G16" s="112">
        <v>0</v>
      </c>
      <c r="H16" s="27">
        <f t="shared" si="0"/>
        <v>178735</v>
      </c>
      <c r="I16" s="27" cm="1">
        <f t="array" ref="I16">IF(OR(B16={"R","U"}),E16,0)</f>
        <v>474167825</v>
      </c>
      <c r="J16" s="27" t="str">
        <f>IF(B16="U","Unbilled",INDEX(Code!B:B,MATCH(LEFT(C16,10),Code!A:A,0)))</f>
        <v>Schedule 24</v>
      </c>
    </row>
    <row r="17" spans="1:10">
      <c r="A17" s="112" t="s">
        <v>5</v>
      </c>
      <c r="B17" s="112" t="s">
        <v>154</v>
      </c>
      <c r="C17" s="112" t="s">
        <v>292</v>
      </c>
      <c r="D17" s="112">
        <v>4</v>
      </c>
      <c r="E17" s="112">
        <v>55120</v>
      </c>
      <c r="F17" s="112">
        <v>9521.64</v>
      </c>
      <c r="G17" s="112">
        <v>0</v>
      </c>
      <c r="H17" s="27">
        <f t="shared" si="0"/>
        <v>4</v>
      </c>
      <c r="I17" s="27" cm="1">
        <f t="array" ref="I17">IF(OR(B17={"R","U"}),E17,0)</f>
        <v>55120</v>
      </c>
      <c r="J17" s="27" t="str">
        <f>IF(B17="U","Unbilled",INDEX(Code!B:B,MATCH(LEFT(C17,10),Code!A:A,0)))</f>
        <v>Schedule 29,36</v>
      </c>
    </row>
    <row r="18" spans="1:10">
      <c r="A18" s="112" t="s">
        <v>5</v>
      </c>
      <c r="B18" s="112" t="s">
        <v>154</v>
      </c>
      <c r="C18" s="112" t="s">
        <v>37</v>
      </c>
      <c r="D18" s="112">
        <v>1285</v>
      </c>
      <c r="E18" s="112">
        <v>1226733</v>
      </c>
      <c r="F18" s="112">
        <v>172314.53</v>
      </c>
      <c r="G18" s="112">
        <v>0</v>
      </c>
      <c r="H18" s="27">
        <f t="shared" si="0"/>
        <v>1285</v>
      </c>
      <c r="I18" s="27" cm="1">
        <f t="array" ref="I18">IF(OR(B18={"R","U"}),E18,0)</f>
        <v>1226733</v>
      </c>
      <c r="J18" s="27" t="str">
        <f>IF(B18="U","Unbilled",INDEX(Code!B:B,MATCH(LEFT(C18,10),Code!A:A,0)))</f>
        <v>Schedule 24</v>
      </c>
    </row>
    <row r="19" spans="1:10">
      <c r="A19" s="112" t="s">
        <v>5</v>
      </c>
      <c r="B19" s="112" t="s">
        <v>154</v>
      </c>
      <c r="C19" s="112" t="s">
        <v>106</v>
      </c>
      <c r="D19" s="112">
        <v>906</v>
      </c>
      <c r="E19" s="112">
        <v>41663162</v>
      </c>
      <c r="F19" s="112">
        <v>3456731.16</v>
      </c>
      <c r="G19" s="112">
        <v>0</v>
      </c>
      <c r="H19" s="27">
        <f t="shared" si="0"/>
        <v>906</v>
      </c>
      <c r="I19" s="27" cm="1">
        <f t="array" ref="I19">IF(OR(B19={"R","U"}),E19,0)</f>
        <v>41663162</v>
      </c>
      <c r="J19" s="27" t="str">
        <f>IF(B19="U","Unbilled",INDEX(Code!B:B,MATCH(LEFT(C19,10),Code!A:A,0)))</f>
        <v>Schedule 29,36</v>
      </c>
    </row>
    <row r="20" spans="1:10">
      <c r="A20" s="112" t="s">
        <v>5</v>
      </c>
      <c r="B20" s="112" t="s">
        <v>154</v>
      </c>
      <c r="C20" s="112" t="s">
        <v>38</v>
      </c>
      <c r="D20" s="112">
        <v>10558</v>
      </c>
      <c r="E20" s="112">
        <v>781917413</v>
      </c>
      <c r="F20" s="112">
        <v>62549379.229999997</v>
      </c>
      <c r="G20" s="112">
        <v>0</v>
      </c>
      <c r="H20" s="27">
        <f t="shared" si="0"/>
        <v>10558</v>
      </c>
      <c r="I20" s="27" cm="1">
        <f t="array" ref="I20">IF(OR(B20={"R","U"}),E20,0)</f>
        <v>781917413</v>
      </c>
      <c r="J20" s="27" t="str">
        <f>IF(B20="U","Unbilled",INDEX(Code!B:B,MATCH(LEFT(C20,10),Code!A:A,0)))</f>
        <v>Schedule 29,36</v>
      </c>
    </row>
    <row r="21" spans="1:10">
      <c r="A21" s="112" t="s">
        <v>5</v>
      </c>
      <c r="B21" s="112" t="s">
        <v>154</v>
      </c>
      <c r="C21" s="112" t="s">
        <v>39</v>
      </c>
      <c r="D21" s="112">
        <v>426</v>
      </c>
      <c r="E21" s="112">
        <v>164679880</v>
      </c>
      <c r="F21" s="112">
        <v>12416854.52</v>
      </c>
      <c r="G21" s="112">
        <v>0</v>
      </c>
      <c r="H21" s="27">
        <f t="shared" si="0"/>
        <v>426</v>
      </c>
      <c r="I21" s="27" cm="1">
        <f t="array" ref="I21">IF(OR(B21={"R","U"}),E21,0)</f>
        <v>164679880</v>
      </c>
      <c r="J21" s="27" t="str">
        <f>IF(B21="U","Unbilled",INDEX(Code!B:B,MATCH(LEFT(C21,10),Code!A:A,0)))</f>
        <v>Schedule 48T</v>
      </c>
    </row>
    <row r="22" spans="1:10">
      <c r="A22" s="112" t="s">
        <v>5</v>
      </c>
      <c r="B22" s="112" t="s">
        <v>154</v>
      </c>
      <c r="C22" s="112" t="s">
        <v>40</v>
      </c>
      <c r="E22" s="112">
        <v>0</v>
      </c>
      <c r="F22" s="112">
        <v>100086.33</v>
      </c>
      <c r="H22" s="27">
        <f t="shared" si="0"/>
        <v>0</v>
      </c>
      <c r="I22" s="27" cm="1">
        <f t="array" ref="I22">IF(OR(B22={"R","U"}),E22,0)</f>
        <v>0</v>
      </c>
      <c r="J22" s="27" t="str">
        <f>IF(B22="U","Unbilled",INDEX(Code!B:B,MATCH(LEFT(C22,10),Code!A:A,0)))</f>
        <v>Annual Guarantee Adjustments</v>
      </c>
    </row>
    <row r="23" spans="1:10">
      <c r="A23" s="112" t="s">
        <v>5</v>
      </c>
      <c r="B23" s="112" t="s">
        <v>154</v>
      </c>
      <c r="C23" s="112" t="s">
        <v>41</v>
      </c>
      <c r="E23" s="112">
        <v>0</v>
      </c>
      <c r="F23" s="112">
        <v>30633.63</v>
      </c>
      <c r="H23" s="27">
        <f t="shared" si="0"/>
        <v>0</v>
      </c>
      <c r="I23" s="27" cm="1">
        <f t="array" ref="I23">IF(OR(B23={"R","U"}),E23,0)</f>
        <v>0</v>
      </c>
      <c r="J23" s="27" t="str">
        <f>IF(B23="U","Unbilled",INDEX(Code!B:B,MATCH(LEFT(C23,10),Code!A:A,0)))</f>
        <v>Annual Guarantee Adjustments</v>
      </c>
    </row>
    <row r="24" spans="1:10">
      <c r="A24" s="112" t="s">
        <v>5</v>
      </c>
      <c r="B24" s="112" t="s">
        <v>154</v>
      </c>
      <c r="C24" s="112" t="s">
        <v>42</v>
      </c>
      <c r="E24" s="112">
        <v>0</v>
      </c>
      <c r="F24" s="112">
        <v>2569.3000000000002</v>
      </c>
      <c r="H24" s="27">
        <f t="shared" si="0"/>
        <v>0</v>
      </c>
      <c r="I24" s="27" cm="1">
        <f t="array" ref="I24">IF(OR(B24={"R","U"}),E24,0)</f>
        <v>0</v>
      </c>
      <c r="J24" s="27" t="str">
        <f>IF(B24="U","Unbilled",INDEX(Code!B:B,MATCH(LEFT(C24,10),Code!A:A,0)))</f>
        <v>Annual Guarantee Adjustments</v>
      </c>
    </row>
    <row r="25" spans="1:10">
      <c r="A25" s="112" t="s">
        <v>5</v>
      </c>
      <c r="B25" s="112" t="s">
        <v>154</v>
      </c>
      <c r="C25" s="112" t="s">
        <v>43</v>
      </c>
      <c r="E25" s="112">
        <v>0</v>
      </c>
      <c r="F25" s="112">
        <v>250713.5</v>
      </c>
      <c r="H25" s="27">
        <f t="shared" si="0"/>
        <v>0</v>
      </c>
      <c r="I25" s="27" cm="1">
        <f t="array" ref="I25">IF(OR(B25={"R","U"}),E25,0)</f>
        <v>0</v>
      </c>
      <c r="J25" s="27" t="str">
        <f>IF(B25="U","Unbilled",INDEX(Code!B:B,MATCH(LEFT(C25,10),Code!A:A,0)))</f>
        <v>Annual Guarantee Adjustments</v>
      </c>
    </row>
    <row r="26" spans="1:10">
      <c r="A26" s="112" t="s">
        <v>5</v>
      </c>
      <c r="B26" s="112" t="s">
        <v>154</v>
      </c>
      <c r="C26" s="112" t="s">
        <v>44</v>
      </c>
      <c r="E26" s="112">
        <v>0</v>
      </c>
      <c r="F26" s="112">
        <v>24908.59</v>
      </c>
      <c r="H26" s="27">
        <f t="shared" si="0"/>
        <v>0</v>
      </c>
      <c r="I26" s="27" cm="1">
        <f t="array" ref="I26">IF(OR(B26={"R","U"}),E26,0)</f>
        <v>0</v>
      </c>
      <c r="J26" s="27" t="str">
        <f>IF(B26="U","Unbilled",INDEX(Code!B:B,MATCH(LEFT(C26,10),Code!A:A,0)))</f>
        <v>Annual Guarantee Adjustments</v>
      </c>
    </row>
    <row r="27" spans="1:10">
      <c r="A27" s="112" t="s">
        <v>5</v>
      </c>
      <c r="B27" s="112" t="s">
        <v>154</v>
      </c>
      <c r="C27" s="112" t="s">
        <v>45</v>
      </c>
      <c r="E27" s="112">
        <v>0</v>
      </c>
      <c r="F27" s="112">
        <v>668.76</v>
      </c>
      <c r="H27" s="27">
        <f t="shared" si="0"/>
        <v>0</v>
      </c>
      <c r="I27" s="27" cm="1">
        <f t="array" ref="I27">IF(OR(B27={"R","U"}),E27,0)</f>
        <v>0</v>
      </c>
      <c r="J27" s="27" t="str">
        <f>IF(B27="U","Unbilled",INDEX(Code!B:B,MATCH(LEFT(C27,10),Code!A:A,0)))</f>
        <v>Annual Guarantee Adjustments</v>
      </c>
    </row>
    <row r="28" spans="1:10">
      <c r="A28" s="112" t="s">
        <v>5</v>
      </c>
      <c r="B28" s="112" t="s">
        <v>154</v>
      </c>
      <c r="C28" s="112" t="s">
        <v>91</v>
      </c>
      <c r="E28" s="112">
        <v>0</v>
      </c>
      <c r="F28" s="112">
        <v>15285.11</v>
      </c>
      <c r="H28" s="27">
        <f t="shared" si="0"/>
        <v>0</v>
      </c>
      <c r="I28" s="27" cm="1">
        <f t="array" ref="I28">IF(OR(B28={"R","U"}),E28,0)</f>
        <v>0</v>
      </c>
      <c r="J28" s="27" t="str">
        <f>IF(B28="U","Unbilled",INDEX(Code!B:B,MATCH(LEFT(C28,10),Code!A:A,0)))</f>
        <v>Annual Guarantee Adjustments</v>
      </c>
    </row>
    <row r="29" spans="1:10">
      <c r="A29" s="112" t="s">
        <v>5</v>
      </c>
      <c r="B29" s="112" t="s">
        <v>154</v>
      </c>
      <c r="C29" s="112" t="s">
        <v>112</v>
      </c>
      <c r="E29" s="112">
        <v>0</v>
      </c>
      <c r="F29" s="112">
        <v>3264.55</v>
      </c>
      <c r="H29" s="27">
        <f t="shared" si="0"/>
        <v>0</v>
      </c>
      <c r="I29" s="27" cm="1">
        <f t="array" ref="I29">IF(OR(B29={"R","U"}),E29,0)</f>
        <v>0</v>
      </c>
      <c r="J29" s="27" t="str">
        <f>IF(B29="U","Unbilled",INDEX(Code!B:B,MATCH(LEFT(C29,10),Code!A:A,0)))</f>
        <v>Annual Guarantee Adjustments</v>
      </c>
    </row>
    <row r="30" spans="1:10">
      <c r="A30" s="112" t="s">
        <v>5</v>
      </c>
      <c r="B30" s="112" t="s">
        <v>154</v>
      </c>
      <c r="C30" s="112" t="s">
        <v>111</v>
      </c>
      <c r="E30" s="112">
        <v>0</v>
      </c>
      <c r="F30" s="112">
        <v>34681.9</v>
      </c>
      <c r="H30" s="27">
        <f t="shared" si="0"/>
        <v>0</v>
      </c>
      <c r="I30" s="27" cm="1">
        <f t="array" ref="I30">IF(OR(B30={"R","U"}),E30,0)</f>
        <v>0</v>
      </c>
      <c r="J30" s="27" t="str">
        <f>IF(B30="U","Unbilled",INDEX(Code!B:B,MATCH(LEFT(C30,10),Code!A:A,0)))</f>
        <v>Annual Guarantee Adjustments</v>
      </c>
    </row>
    <row r="31" spans="1:10">
      <c r="A31" s="112" t="s">
        <v>5</v>
      </c>
      <c r="B31" s="112" t="s">
        <v>154</v>
      </c>
      <c r="C31" s="112" t="s">
        <v>113</v>
      </c>
      <c r="E31" s="112">
        <v>0</v>
      </c>
      <c r="F31" s="112">
        <v>10278</v>
      </c>
      <c r="H31" s="27">
        <f t="shared" si="0"/>
        <v>0</v>
      </c>
      <c r="I31" s="27" cm="1">
        <f t="array" ref="I31">IF(OR(B31={"R","U"}),E31,0)</f>
        <v>0</v>
      </c>
      <c r="J31" s="27" t="str">
        <f>IF(B31="U","Unbilled",INDEX(Code!B:B,MATCH(LEFT(C31,10),Code!A:A,0)))</f>
        <v>Annual Guarantee Adjustments</v>
      </c>
    </row>
    <row r="32" spans="1:10">
      <c r="A32" s="112" t="s">
        <v>5</v>
      </c>
      <c r="B32" s="112" t="s">
        <v>154</v>
      </c>
      <c r="C32" s="112" t="s">
        <v>293</v>
      </c>
      <c r="D32" s="112">
        <v>306</v>
      </c>
      <c r="E32" s="112">
        <v>127958</v>
      </c>
      <c r="F32" s="112">
        <v>18837.66</v>
      </c>
      <c r="G32" s="112">
        <v>0</v>
      </c>
      <c r="H32" s="27">
        <f t="shared" si="0"/>
        <v>306</v>
      </c>
      <c r="I32" s="27" cm="1">
        <f t="array" ref="I32">IF(OR(B32={"R","U"}),E32,0)</f>
        <v>127958</v>
      </c>
      <c r="J32" s="27" t="str">
        <f>IF(B32="U","Unbilled",INDEX(Code!B:B,MATCH(LEFT(C32,10),Code!A:A,0)))</f>
        <v>Schedule 24</v>
      </c>
    </row>
    <row r="33" spans="1:10">
      <c r="A33" s="112" t="s">
        <v>5</v>
      </c>
      <c r="B33" s="112" t="s">
        <v>154</v>
      </c>
      <c r="C33" s="112" t="s">
        <v>92</v>
      </c>
      <c r="D33" s="112">
        <v>1674</v>
      </c>
      <c r="E33" s="112">
        <v>5785719</v>
      </c>
      <c r="F33" s="112">
        <v>574364.75</v>
      </c>
      <c r="G33" s="112">
        <v>0</v>
      </c>
      <c r="H33" s="27">
        <f t="shared" si="0"/>
        <v>1674</v>
      </c>
      <c r="I33" s="27" cm="1">
        <f t="array" ref="I33">IF(OR(B33={"R","U"}),E33,0)</f>
        <v>5785719</v>
      </c>
      <c r="J33" s="27" t="str">
        <f>IF(B33="U","Unbilled",INDEX(Code!B:B,MATCH(LEFT(C33,10),Code!A:A,0)))</f>
        <v>Schedule 24</v>
      </c>
    </row>
    <row r="34" spans="1:10">
      <c r="A34" s="112" t="s">
        <v>5</v>
      </c>
      <c r="B34" s="112" t="s">
        <v>154</v>
      </c>
      <c r="C34" s="112" t="s">
        <v>125</v>
      </c>
      <c r="D34" s="112">
        <v>217</v>
      </c>
      <c r="E34" s="112">
        <v>13219397</v>
      </c>
      <c r="F34" s="112">
        <v>1134515.72</v>
      </c>
      <c r="G34" s="112">
        <v>0</v>
      </c>
      <c r="H34" s="27">
        <f t="shared" si="0"/>
        <v>217</v>
      </c>
      <c r="I34" s="27" cm="1">
        <f t="array" ref="I34">IF(OR(B34={"R","U"}),E34,0)</f>
        <v>13219397</v>
      </c>
      <c r="J34" s="27" t="str">
        <f>IF(B34="U","Unbilled",INDEX(Code!B:B,MATCH(LEFT(C34,10),Code!A:A,0)))</f>
        <v>Schedule 29,36</v>
      </c>
    </row>
    <row r="35" spans="1:10">
      <c r="A35" s="112" t="s">
        <v>5</v>
      </c>
      <c r="B35" s="112" t="s">
        <v>154</v>
      </c>
      <c r="C35" s="112" t="s">
        <v>294</v>
      </c>
      <c r="D35" s="112">
        <v>24</v>
      </c>
      <c r="E35" s="112">
        <v>10190400</v>
      </c>
      <c r="F35" s="112">
        <v>743468.46</v>
      </c>
      <c r="G35" s="112">
        <v>0</v>
      </c>
      <c r="H35" s="27">
        <f t="shared" si="0"/>
        <v>24</v>
      </c>
      <c r="I35" s="27" cm="1">
        <f t="array" ref="I35">IF(OR(B35={"R","U"}),E35,0)</f>
        <v>10190400</v>
      </c>
      <c r="J35" s="27" t="str">
        <f>IF(B35="U","Unbilled",INDEX(Code!B:B,MATCH(LEFT(C35,10),Code!A:A,0)))</f>
        <v>Schedule 48T</v>
      </c>
    </row>
    <row r="36" spans="1:10">
      <c r="A36" s="112" t="s">
        <v>5</v>
      </c>
      <c r="B36" s="112" t="s">
        <v>154</v>
      </c>
      <c r="C36" s="112" t="s">
        <v>46</v>
      </c>
      <c r="D36" s="112">
        <v>8939</v>
      </c>
      <c r="E36" s="112">
        <v>1366292</v>
      </c>
      <c r="F36" s="112">
        <v>106811</v>
      </c>
      <c r="G36" s="112">
        <v>0</v>
      </c>
      <c r="H36" s="27">
        <f t="shared" si="0"/>
        <v>8939</v>
      </c>
      <c r="I36" s="27" cm="1">
        <f t="array" ref="I36">IF(OR(B36={"R","U"}),E36,0)</f>
        <v>1366292</v>
      </c>
      <c r="J36" s="27" t="str">
        <f>IF(B36="U","Unbilled",INDEX(Code!B:B,MATCH(LEFT(C36,10),Code!A:A,0)))</f>
        <v>Schedule 15</v>
      </c>
    </row>
    <row r="37" spans="1:10">
      <c r="A37" s="112" t="s">
        <v>5</v>
      </c>
      <c r="B37" s="112" t="s">
        <v>154</v>
      </c>
      <c r="C37" s="112" t="s">
        <v>104</v>
      </c>
      <c r="D37" s="112">
        <v>5352</v>
      </c>
      <c r="E37" s="112">
        <v>475493</v>
      </c>
      <c r="F37" s="112">
        <v>50615.19</v>
      </c>
      <c r="G37" s="112">
        <v>0</v>
      </c>
      <c r="H37" s="27">
        <f t="shared" si="0"/>
        <v>5352</v>
      </c>
      <c r="I37" s="27" cm="1">
        <f t="array" ref="I37">IF(OR(B37={"R","U"}),E37,0)</f>
        <v>475493</v>
      </c>
      <c r="J37" s="27" t="str">
        <f>IF(B37="U","Unbilled",INDEX(Code!B:B,MATCH(LEFT(C37,10),Code!A:A,0)))</f>
        <v>Schedule 15</v>
      </c>
    </row>
    <row r="38" spans="1:10">
      <c r="A38" s="112" t="s">
        <v>5</v>
      </c>
      <c r="B38" s="112" t="s">
        <v>154</v>
      </c>
      <c r="C38" s="112" t="s">
        <v>47</v>
      </c>
      <c r="D38" s="112">
        <v>306</v>
      </c>
      <c r="E38" s="112">
        <v>312417</v>
      </c>
      <c r="F38" s="112">
        <v>17642.8</v>
      </c>
      <c r="G38" s="112">
        <v>0</v>
      </c>
      <c r="H38" s="27">
        <f t="shared" si="0"/>
        <v>306</v>
      </c>
      <c r="I38" s="27" cm="1">
        <f t="array" ref="I38">IF(OR(B38={"R","U"}),E38,0)</f>
        <v>312417</v>
      </c>
      <c r="J38" s="27" t="str">
        <f>IF(B38="U","Unbilled",INDEX(Code!B:B,MATCH(LEFT(C38,10),Code!A:A,0)))</f>
        <v>Schedule 54</v>
      </c>
    </row>
    <row r="39" spans="1:10">
      <c r="A39" s="112" t="s">
        <v>5</v>
      </c>
      <c r="B39" s="112" t="s">
        <v>154</v>
      </c>
      <c r="C39" s="112" t="s">
        <v>295</v>
      </c>
      <c r="D39" s="112">
        <v>0</v>
      </c>
      <c r="E39" s="112">
        <v>0</v>
      </c>
      <c r="F39" s="112">
        <v>0</v>
      </c>
      <c r="G39" s="112">
        <v>0</v>
      </c>
      <c r="H39" s="27">
        <f t="shared" si="0"/>
        <v>0</v>
      </c>
      <c r="I39" s="27" cm="1">
        <f t="array" ref="I39">IF(OR(B39={"R","U"}),E39,0)</f>
        <v>0</v>
      </c>
      <c r="J39" s="27" t="str">
        <f>IF(B39="U","Unbilled",INDEX(Code!B:B,MATCH(LEFT(C39,10),Code!A:A,0)))</f>
        <v>Customer Bill Credits</v>
      </c>
    </row>
    <row r="40" spans="1:10">
      <c r="A40" s="112" t="s">
        <v>5</v>
      </c>
      <c r="B40" s="112" t="s">
        <v>154</v>
      </c>
      <c r="C40" s="112" t="s">
        <v>296</v>
      </c>
      <c r="D40" s="112">
        <v>0</v>
      </c>
      <c r="E40" s="112">
        <v>0</v>
      </c>
      <c r="F40" s="112">
        <v>4534087.8899999997</v>
      </c>
      <c r="G40" s="112">
        <v>0</v>
      </c>
      <c r="H40" s="27">
        <f t="shared" si="0"/>
        <v>0</v>
      </c>
      <c r="I40" s="27" cm="1">
        <f t="array" ref="I40">IF(OR(B40={"R","U"}),E40,0)</f>
        <v>0</v>
      </c>
      <c r="J40" s="27" t="str">
        <f>IF(B40="U","Unbilled",INDEX(Code!B:B,MATCH(LEFT(C40,10),Code!A:A,0)))</f>
        <v>DSM</v>
      </c>
    </row>
    <row r="41" spans="1:10">
      <c r="A41" s="112" t="s">
        <v>5</v>
      </c>
      <c r="B41" s="112" t="s">
        <v>154</v>
      </c>
      <c r="C41" s="112" t="s">
        <v>142</v>
      </c>
      <c r="D41" s="112">
        <v>12</v>
      </c>
      <c r="E41" s="112">
        <v>0</v>
      </c>
      <c r="F41" s="112">
        <v>30424.7</v>
      </c>
      <c r="G41" s="112">
        <v>0</v>
      </c>
      <c r="H41" s="27">
        <f t="shared" si="0"/>
        <v>0</v>
      </c>
      <c r="I41" s="27" cm="1">
        <f t="array" ref="I41">IF(OR(B41={"R","U"}),E41,0)</f>
        <v>0</v>
      </c>
      <c r="J41" s="27" t="str">
        <f>IF(B41="U","Unbilled",INDEX(Code!B:B,MATCH(LEFT(C41,10),Code!A:A,0)))</f>
        <v>Blue Sky</v>
      </c>
    </row>
    <row r="42" spans="1:10">
      <c r="A42" s="112" t="s">
        <v>5</v>
      </c>
      <c r="B42" s="112" t="s">
        <v>154</v>
      </c>
      <c r="C42" s="112" t="s">
        <v>181</v>
      </c>
      <c r="D42" s="112">
        <v>0</v>
      </c>
      <c r="E42" s="112">
        <v>0</v>
      </c>
      <c r="F42" s="112">
        <v>44874.79</v>
      </c>
      <c r="G42" s="112">
        <v>0</v>
      </c>
      <c r="H42" s="27">
        <f t="shared" si="0"/>
        <v>0</v>
      </c>
      <c r="I42" s="27" cm="1">
        <f t="array" ref="I42">IF(OR(B42={"R","U"}),E42,0)</f>
        <v>0</v>
      </c>
      <c r="J42" s="27" t="str">
        <f>IF(B42="U","Unbilled",INDEX(Code!B:B,MATCH(LEFT(C42,10),Code!A:A,0)))</f>
        <v>Rev Adj Property Insur</v>
      </c>
    </row>
    <row r="43" spans="1:10">
      <c r="A43" s="112" t="s">
        <v>5</v>
      </c>
      <c r="B43" s="112" t="s">
        <v>154</v>
      </c>
      <c r="C43" s="112" t="s">
        <v>297</v>
      </c>
      <c r="D43" s="112">
        <v>0</v>
      </c>
      <c r="E43" s="112">
        <v>0</v>
      </c>
      <c r="F43" s="112">
        <v>-1085030.27</v>
      </c>
      <c r="G43" s="112">
        <v>0</v>
      </c>
      <c r="H43" s="27">
        <f t="shared" si="0"/>
        <v>0</v>
      </c>
      <c r="I43" s="27" cm="1">
        <f t="array" ref="I43">IF(OR(B43={"R","U"}),E43,0)</f>
        <v>0</v>
      </c>
      <c r="J43" s="27" t="str">
        <f>IF(B43="U","Unbilled",INDEX(Code!B:B,MATCH(LEFT(C43,10),Code!A:A,0)))</f>
        <v>Alt Rev Program</v>
      </c>
    </row>
    <row r="44" spans="1:10">
      <c r="A44" s="112" t="s">
        <v>5</v>
      </c>
      <c r="B44" s="112" t="s">
        <v>154</v>
      </c>
      <c r="C44" s="112" t="s">
        <v>52</v>
      </c>
      <c r="D44" s="112">
        <v>0</v>
      </c>
      <c r="G44" s="112">
        <v>201783</v>
      </c>
      <c r="H44" s="27">
        <f t="shared" si="0"/>
        <v>0</v>
      </c>
      <c r="I44" s="27" cm="1">
        <f t="array" ref="I44">IF(OR(B44={"R","U"}),E44,0)</f>
        <v>0</v>
      </c>
      <c r="J44" s="27" t="str">
        <f>IF(B44="U","Unbilled",INDEX(Code!B:B,MATCH(LEFT(C44,10),Code!A:A,0)))</f>
        <v>CustIDs</v>
      </c>
    </row>
    <row r="45" spans="1:10">
      <c r="A45" s="112" t="s">
        <v>5</v>
      </c>
      <c r="B45" s="112" t="s">
        <v>154</v>
      </c>
      <c r="C45" s="112" t="s">
        <v>184</v>
      </c>
      <c r="D45" s="112">
        <v>0</v>
      </c>
      <c r="E45" s="112">
        <v>0</v>
      </c>
      <c r="F45" s="112">
        <v>789363.18</v>
      </c>
      <c r="G45" s="112">
        <v>0</v>
      </c>
      <c r="H45" s="27">
        <f t="shared" si="0"/>
        <v>0</v>
      </c>
      <c r="I45" s="27" cm="1">
        <f t="array" ref="I45">IF(OR(B45={"R","U"}),E45,0)</f>
        <v>0</v>
      </c>
      <c r="J45" s="27" t="str">
        <f>IF(B45="U","Unbilled",INDEX(Code!B:B,MATCH(LEFT(C45,10),Code!A:A,0)))</f>
        <v>Income Tax Defer Adj</v>
      </c>
    </row>
    <row r="46" spans="1:10">
      <c r="A46" s="112" t="s">
        <v>5</v>
      </c>
      <c r="B46" s="112" t="s">
        <v>154</v>
      </c>
      <c r="C46" s="112" t="s">
        <v>124</v>
      </c>
      <c r="D46" s="112">
        <v>0</v>
      </c>
      <c r="E46" s="112">
        <v>0</v>
      </c>
      <c r="F46" s="112">
        <v>-307715.95</v>
      </c>
      <c r="G46" s="112">
        <v>0</v>
      </c>
      <c r="H46" s="27">
        <f t="shared" si="0"/>
        <v>0</v>
      </c>
      <c r="I46" s="27" cm="1">
        <f t="array" ref="I46">IF(OR(B46={"R","U"}),E46,0)</f>
        <v>0</v>
      </c>
      <c r="J46" s="27" t="str">
        <f>IF(B46="U","Unbilled",INDEX(Code!B:B,MATCH(LEFT(C46,10),Code!A:A,0)))</f>
        <v>Rev Adj</v>
      </c>
    </row>
    <row r="47" spans="1:10">
      <c r="A47" s="112" t="s">
        <v>5</v>
      </c>
      <c r="B47" s="112" t="s">
        <v>154</v>
      </c>
      <c r="C47" s="112" t="s">
        <v>131</v>
      </c>
      <c r="D47" s="112">
        <v>0</v>
      </c>
      <c r="E47" s="112">
        <v>0</v>
      </c>
      <c r="F47" s="112">
        <v>36545.71</v>
      </c>
      <c r="G47" s="112">
        <v>0</v>
      </c>
      <c r="H47" s="27">
        <f t="shared" si="0"/>
        <v>0</v>
      </c>
      <c r="I47" s="27" cm="1">
        <f t="array" ref="I47">IF(OR(B47={"R","U"}),E47,0)</f>
        <v>0</v>
      </c>
      <c r="J47" s="27" t="str">
        <f>IF(B47="U","Unbilled",INDEX(Code!B:B,MATCH(LEFT(C47,10),Code!A:A,0)))</f>
        <v>Rev Adj</v>
      </c>
    </row>
    <row r="48" spans="1:10">
      <c r="A48" s="112" t="s">
        <v>5</v>
      </c>
      <c r="B48" s="112" t="s">
        <v>155</v>
      </c>
      <c r="C48" s="112" t="s">
        <v>53</v>
      </c>
      <c r="D48" s="112">
        <v>0</v>
      </c>
      <c r="E48" s="112">
        <v>10073000</v>
      </c>
      <c r="F48" s="112">
        <v>2041000</v>
      </c>
      <c r="G48" s="112">
        <v>0</v>
      </c>
      <c r="H48" s="27">
        <f t="shared" si="0"/>
        <v>0</v>
      </c>
      <c r="I48" s="27" cm="1">
        <f t="array" ref="I48">IF(OR(B48={"R","U"}),E48,0)</f>
        <v>10073000</v>
      </c>
      <c r="J48" s="27" t="str">
        <f>IF(B48="U","Unbilled",INDEX(Code!B:B,MATCH(LEFT(C48,10),Code!A:A,0)))</f>
        <v>Unbilled</v>
      </c>
    </row>
    <row r="49" spans="1:10">
      <c r="A49" s="112" t="s">
        <v>7</v>
      </c>
      <c r="B49" s="112" t="s">
        <v>288</v>
      </c>
      <c r="C49" s="112" t="s">
        <v>102</v>
      </c>
      <c r="D49" s="112">
        <v>494</v>
      </c>
      <c r="E49" s="112">
        <v>941721</v>
      </c>
      <c r="F49" s="112">
        <v>-8390.3799999999992</v>
      </c>
      <c r="G49" s="112">
        <v>0</v>
      </c>
      <c r="H49" s="27">
        <f t="shared" si="0"/>
        <v>0</v>
      </c>
      <c r="I49" s="27" cm="1">
        <f t="array" ref="I49">IF(OR(B49={"R","U"}),E49,0)</f>
        <v>0</v>
      </c>
      <c r="J49" s="27" t="str">
        <f>IF(B49="U","Unbilled",INDEX(Code!B:B,MATCH(LEFT(C49,10),Code!A:A,0)))</f>
        <v>Schedule 24</v>
      </c>
    </row>
    <row r="50" spans="1:10">
      <c r="A50" s="112" t="s">
        <v>7</v>
      </c>
      <c r="B50" s="112" t="s">
        <v>288</v>
      </c>
      <c r="C50" s="112" t="s">
        <v>103</v>
      </c>
      <c r="D50" s="112">
        <v>12</v>
      </c>
      <c r="E50" s="112">
        <v>2644</v>
      </c>
      <c r="F50" s="112">
        <v>-23.9</v>
      </c>
      <c r="G50" s="112">
        <v>0</v>
      </c>
      <c r="H50" s="27">
        <f t="shared" si="0"/>
        <v>0</v>
      </c>
      <c r="I50" s="27" cm="1">
        <f t="array" ref="I50">IF(OR(B50={"R","U"}),E50,0)</f>
        <v>0</v>
      </c>
      <c r="J50" s="27" t="str">
        <f>IF(B50="U","Unbilled",INDEX(Code!B:B,MATCH(LEFT(C50,10),Code!A:A,0)))</f>
        <v>Schedule 24</v>
      </c>
    </row>
    <row r="51" spans="1:10">
      <c r="A51" s="112" t="s">
        <v>7</v>
      </c>
      <c r="B51" s="112" t="s">
        <v>288</v>
      </c>
      <c r="C51" s="112" t="s">
        <v>99</v>
      </c>
      <c r="D51" s="112">
        <v>76</v>
      </c>
      <c r="E51" s="112">
        <v>875520</v>
      </c>
      <c r="F51" s="112">
        <v>-7360.18</v>
      </c>
      <c r="G51" s="112">
        <v>0</v>
      </c>
      <c r="H51" s="27">
        <f t="shared" si="0"/>
        <v>0</v>
      </c>
      <c r="I51" s="27" cm="1">
        <f t="array" ref="I51">IF(OR(B51={"R","U"}),E51,0)</f>
        <v>0</v>
      </c>
      <c r="J51" s="27" t="str">
        <f>IF(B51="U","Unbilled",INDEX(Code!B:B,MATCH(LEFT(C51,10),Code!A:A,0)))</f>
        <v>Schedule 29,36</v>
      </c>
    </row>
    <row r="52" spans="1:10">
      <c r="A52" s="112" t="s">
        <v>7</v>
      </c>
      <c r="B52" s="112" t="s">
        <v>288</v>
      </c>
      <c r="C52" s="112" t="s">
        <v>289</v>
      </c>
      <c r="E52" s="112">
        <v>0</v>
      </c>
      <c r="F52" s="112">
        <v>0</v>
      </c>
      <c r="H52" s="27">
        <f t="shared" si="0"/>
        <v>0</v>
      </c>
      <c r="I52" s="27" cm="1">
        <f t="array" ref="I52">IF(OR(B52={"R","U"}),E52,0)</f>
        <v>0</v>
      </c>
      <c r="J52" s="27" t="str">
        <f>IF(B52="U","Unbilled",INDEX(Code!B:B,MATCH(LEFT(C52,10),Code!A:A,0)))</f>
        <v>Schedule 24</v>
      </c>
    </row>
    <row r="53" spans="1:10">
      <c r="A53" s="112" t="s">
        <v>7</v>
      </c>
      <c r="B53" s="112" t="s">
        <v>288</v>
      </c>
      <c r="C53" s="112" t="s">
        <v>290</v>
      </c>
      <c r="D53" s="112">
        <v>9</v>
      </c>
      <c r="E53" s="112">
        <v>95360</v>
      </c>
      <c r="F53" s="112">
        <v>-737.71</v>
      </c>
      <c r="G53" s="112">
        <v>0</v>
      </c>
      <c r="H53" s="27">
        <f t="shared" si="0"/>
        <v>0</v>
      </c>
      <c r="I53" s="27" cm="1">
        <f t="array" ref="I53">IF(OR(B53={"R","U"}),E53,0)</f>
        <v>0</v>
      </c>
      <c r="J53" s="27" t="str">
        <f>IF(B53="U","Unbilled",INDEX(Code!B:B,MATCH(LEFT(C53,10),Code!A:A,0)))</f>
        <v>Schedule 29,36</v>
      </c>
    </row>
    <row r="54" spans="1:10">
      <c r="A54" s="112" t="s">
        <v>7</v>
      </c>
      <c r="B54" s="112" t="s">
        <v>288</v>
      </c>
      <c r="C54" s="112" t="s">
        <v>100</v>
      </c>
      <c r="E54" s="112">
        <v>6652</v>
      </c>
      <c r="F54" s="112">
        <v>-62.64</v>
      </c>
      <c r="H54" s="27">
        <f t="shared" si="0"/>
        <v>0</v>
      </c>
      <c r="I54" s="27" cm="1">
        <f t="array" ref="I54">IF(OR(B54={"R","U"}),E54,0)</f>
        <v>0</v>
      </c>
      <c r="J54" s="27" t="str">
        <f>IF(B54="U","Unbilled",INDEX(Code!B:B,MATCH(LEFT(C54,10),Code!A:A,0)))</f>
        <v>Schedule 15</v>
      </c>
    </row>
    <row r="55" spans="1:10">
      <c r="A55" s="112" t="s">
        <v>7</v>
      </c>
      <c r="B55" s="112" t="s">
        <v>288</v>
      </c>
      <c r="C55" s="112" t="s">
        <v>50</v>
      </c>
      <c r="D55" s="112">
        <v>0</v>
      </c>
      <c r="E55" s="112">
        <v>0</v>
      </c>
      <c r="F55" s="112">
        <v>-477.25</v>
      </c>
      <c r="G55" s="112">
        <v>0</v>
      </c>
      <c r="H55" s="27">
        <f t="shared" si="0"/>
        <v>0</v>
      </c>
      <c r="I55" s="27" cm="1">
        <f t="array" ref="I55">IF(OR(B55={"R","U"}),E55,0)</f>
        <v>0</v>
      </c>
      <c r="J55" s="27" t="str">
        <f>IF(B55="U","Unbilled",INDEX(Code!B:B,MATCH(LEFT(C55,10),Code!A:A,0)))</f>
        <v>BPA Bal Acct</v>
      </c>
    </row>
    <row r="56" spans="1:10">
      <c r="A56" s="112" t="s">
        <v>7</v>
      </c>
      <c r="B56" s="112" t="s">
        <v>288</v>
      </c>
      <c r="C56" s="112" t="s">
        <v>51</v>
      </c>
      <c r="D56" s="112">
        <v>0</v>
      </c>
      <c r="G56" s="112">
        <v>580</v>
      </c>
      <c r="H56" s="27">
        <f t="shared" si="0"/>
        <v>0</v>
      </c>
      <c r="I56" s="27" cm="1">
        <f t="array" ref="I56">IF(OR(B56={"R","U"}),E56,0)</f>
        <v>0</v>
      </c>
      <c r="J56" s="27" t="str">
        <f>IF(B56="U","Unbilled",INDEX(Code!B:B,MATCH(LEFT(C56,10),Code!A:A,0)))</f>
        <v>CustIDs</v>
      </c>
    </row>
    <row r="57" spans="1:10">
      <c r="A57" s="112" t="s">
        <v>7</v>
      </c>
      <c r="B57" s="112" t="s">
        <v>154</v>
      </c>
      <c r="C57" s="112" t="s">
        <v>96</v>
      </c>
      <c r="D57" s="112">
        <v>494</v>
      </c>
      <c r="E57" s="112">
        <v>941721</v>
      </c>
      <c r="F57" s="112">
        <v>103492.6</v>
      </c>
      <c r="G57" s="112">
        <v>0</v>
      </c>
      <c r="H57" s="27">
        <f t="shared" si="0"/>
        <v>494</v>
      </c>
      <c r="I57" s="27" cm="1">
        <f t="array" ref="I57">IF(OR(B57={"R","U"}),E57,0)</f>
        <v>941721</v>
      </c>
      <c r="J57" s="27" t="str">
        <f>IF(B57="U","Unbilled",INDEX(Code!B:B,MATCH(LEFT(C57,10),Code!A:A,0)))</f>
        <v>Schedule 24</v>
      </c>
    </row>
    <row r="58" spans="1:10">
      <c r="A58" s="112" t="s">
        <v>7</v>
      </c>
      <c r="B58" s="112" t="s">
        <v>154</v>
      </c>
      <c r="C58" s="112" t="s">
        <v>97</v>
      </c>
      <c r="D58" s="112">
        <v>12</v>
      </c>
      <c r="E58" s="112">
        <v>2644</v>
      </c>
      <c r="F58" s="112">
        <v>1650.65</v>
      </c>
      <c r="G58" s="112">
        <v>0</v>
      </c>
      <c r="H58" s="27">
        <f t="shared" si="0"/>
        <v>12</v>
      </c>
      <c r="I58" s="27" cm="1">
        <f t="array" ref="I58">IF(OR(B58={"R","U"}),E58,0)</f>
        <v>2644</v>
      </c>
      <c r="J58" s="27" t="str">
        <f>IF(B58="U","Unbilled",INDEX(Code!B:B,MATCH(LEFT(C58,10),Code!A:A,0)))</f>
        <v>Schedule 24</v>
      </c>
    </row>
    <row r="59" spans="1:10">
      <c r="A59" s="112" t="s">
        <v>7</v>
      </c>
      <c r="B59" s="112" t="s">
        <v>154</v>
      </c>
      <c r="C59" s="112" t="s">
        <v>36</v>
      </c>
      <c r="D59" s="112">
        <v>3864</v>
      </c>
      <c r="E59" s="112">
        <v>14026020</v>
      </c>
      <c r="F59" s="112">
        <v>1359243.95</v>
      </c>
      <c r="G59" s="112">
        <v>0</v>
      </c>
      <c r="H59" s="27">
        <f t="shared" si="0"/>
        <v>3864</v>
      </c>
      <c r="I59" s="27" cm="1">
        <f t="array" ref="I59">IF(OR(B59={"R","U"}),E59,0)</f>
        <v>14026020</v>
      </c>
      <c r="J59" s="27" t="str">
        <f>IF(B59="U","Unbilled",INDEX(Code!B:B,MATCH(LEFT(C59,10),Code!A:A,0)))</f>
        <v>Schedule 24</v>
      </c>
    </row>
    <row r="60" spans="1:10">
      <c r="A60" s="112" t="s">
        <v>7</v>
      </c>
      <c r="B60" s="112" t="s">
        <v>154</v>
      </c>
      <c r="C60" s="112" t="s">
        <v>37</v>
      </c>
      <c r="D60" s="112">
        <v>48</v>
      </c>
      <c r="E60" s="112">
        <v>33474</v>
      </c>
      <c r="F60" s="112">
        <v>8823.94</v>
      </c>
      <c r="G60" s="112">
        <v>0</v>
      </c>
      <c r="H60" s="27">
        <f t="shared" si="0"/>
        <v>48</v>
      </c>
      <c r="I60" s="27" cm="1">
        <f t="array" ref="I60">IF(OR(B60={"R","U"}),E60,0)</f>
        <v>33474</v>
      </c>
      <c r="J60" s="27" t="str">
        <f>IF(B60="U","Unbilled",INDEX(Code!B:B,MATCH(LEFT(C60,10),Code!A:A,0)))</f>
        <v>Schedule 24</v>
      </c>
    </row>
    <row r="61" spans="1:10">
      <c r="A61" s="112" t="s">
        <v>7</v>
      </c>
      <c r="B61" s="112" t="s">
        <v>154</v>
      </c>
      <c r="C61" s="112" t="s">
        <v>106</v>
      </c>
      <c r="D61" s="112">
        <v>76</v>
      </c>
      <c r="E61" s="112">
        <v>875520</v>
      </c>
      <c r="F61" s="112">
        <v>120263.83</v>
      </c>
      <c r="G61" s="112">
        <v>0</v>
      </c>
      <c r="H61" s="27">
        <f t="shared" si="0"/>
        <v>76</v>
      </c>
      <c r="I61" s="27" cm="1">
        <f t="array" ref="I61">IF(OR(B61={"R","U"}),E61,0)</f>
        <v>875520</v>
      </c>
      <c r="J61" s="27" t="str">
        <f>IF(B61="U","Unbilled",INDEX(Code!B:B,MATCH(LEFT(C61,10),Code!A:A,0)))</f>
        <v>Schedule 29,36</v>
      </c>
    </row>
    <row r="62" spans="1:10">
      <c r="A62" s="112" t="s">
        <v>7</v>
      </c>
      <c r="B62" s="112" t="s">
        <v>154</v>
      </c>
      <c r="C62" s="112" t="s">
        <v>38</v>
      </c>
      <c r="D62" s="112">
        <v>1068</v>
      </c>
      <c r="E62" s="112">
        <v>86640451</v>
      </c>
      <c r="F62" s="112">
        <v>7301064.3799999999</v>
      </c>
      <c r="G62" s="112">
        <v>0</v>
      </c>
      <c r="H62" s="27">
        <f t="shared" si="0"/>
        <v>1068</v>
      </c>
      <c r="I62" s="27" cm="1">
        <f t="array" ref="I62">IF(OR(B62={"R","U"}),E62,0)</f>
        <v>86640451</v>
      </c>
      <c r="J62" s="27" t="str">
        <f>IF(B62="U","Unbilled",INDEX(Code!B:B,MATCH(LEFT(C62,10),Code!A:A,0)))</f>
        <v>Schedule 29,36</v>
      </c>
    </row>
    <row r="63" spans="1:10">
      <c r="A63" s="112" t="s">
        <v>7</v>
      </c>
      <c r="B63" s="112" t="s">
        <v>154</v>
      </c>
      <c r="C63" s="112" t="s">
        <v>56</v>
      </c>
      <c r="D63" s="112">
        <v>12</v>
      </c>
      <c r="E63" s="112">
        <v>540230400</v>
      </c>
      <c r="F63" s="112">
        <v>32758440.510000002</v>
      </c>
      <c r="G63" s="112">
        <v>0</v>
      </c>
      <c r="H63" s="27">
        <f t="shared" si="0"/>
        <v>12</v>
      </c>
      <c r="I63" s="27" cm="1">
        <f t="array" ref="I63">IF(OR(B63={"R","U"}),E63,0)</f>
        <v>540230400</v>
      </c>
      <c r="J63" s="27" t="str">
        <f>IF(B63="U","Unbilled",INDEX(Code!B:B,MATCH(LEFT(C63,10),Code!A:A,0)))</f>
        <v>Schedule 48T-DF</v>
      </c>
    </row>
    <row r="64" spans="1:10">
      <c r="A64" s="112" t="s">
        <v>7</v>
      </c>
      <c r="B64" s="112" t="s">
        <v>154</v>
      </c>
      <c r="C64" s="112" t="s">
        <v>39</v>
      </c>
      <c r="D64" s="112">
        <v>348</v>
      </c>
      <c r="E64" s="112">
        <v>196837800</v>
      </c>
      <c r="F64" s="112">
        <v>14420276</v>
      </c>
      <c r="G64" s="112">
        <v>0</v>
      </c>
      <c r="H64" s="27">
        <f t="shared" si="0"/>
        <v>348</v>
      </c>
      <c r="I64" s="27" cm="1">
        <f t="array" ref="I64">IF(OR(B64={"R","U"}),E64,0)</f>
        <v>196837800</v>
      </c>
      <c r="J64" s="27" t="str">
        <f>IF(B64="U","Unbilled",INDEX(Code!B:B,MATCH(LEFT(C64,10),Code!A:A,0)))</f>
        <v>Schedule 48T</v>
      </c>
    </row>
    <row r="65" spans="1:10">
      <c r="A65" s="112" t="s">
        <v>7</v>
      </c>
      <c r="B65" s="112" t="s">
        <v>154</v>
      </c>
      <c r="C65" s="112" t="s">
        <v>41</v>
      </c>
      <c r="E65" s="112">
        <v>0</v>
      </c>
      <c r="F65" s="112">
        <v>11579.08</v>
      </c>
      <c r="H65" s="27">
        <f t="shared" si="0"/>
        <v>0</v>
      </c>
      <c r="I65" s="27" cm="1">
        <f t="array" ref="I65">IF(OR(B65={"R","U"}),E65,0)</f>
        <v>0</v>
      </c>
      <c r="J65" s="27" t="str">
        <f>IF(B65="U","Unbilled",INDEX(Code!B:B,MATCH(LEFT(C65,10),Code!A:A,0)))</f>
        <v>Annual Guarantee Adjustments</v>
      </c>
    </row>
    <row r="66" spans="1:10">
      <c r="A66" s="112" t="s">
        <v>7</v>
      </c>
      <c r="B66" s="112" t="s">
        <v>154</v>
      </c>
      <c r="C66" s="112" t="s">
        <v>293</v>
      </c>
      <c r="E66" s="112">
        <v>0</v>
      </c>
      <c r="F66" s="112">
        <v>0</v>
      </c>
      <c r="H66" s="27">
        <f t="shared" si="0"/>
        <v>0</v>
      </c>
      <c r="I66" s="27" cm="1">
        <f t="array" ref="I66">IF(OR(B66={"R","U"}),E66,0)</f>
        <v>0</v>
      </c>
      <c r="J66" s="27" t="str">
        <f>IF(B66="U","Unbilled",INDEX(Code!B:B,MATCH(LEFT(C66,10),Code!A:A,0)))</f>
        <v>Schedule 24</v>
      </c>
    </row>
    <row r="67" spans="1:10">
      <c r="A67" s="112" t="s">
        <v>7</v>
      </c>
      <c r="B67" s="112" t="s">
        <v>154</v>
      </c>
      <c r="C67" s="112" t="s">
        <v>92</v>
      </c>
      <c r="D67" s="112">
        <v>29</v>
      </c>
      <c r="E67" s="112">
        <v>34857</v>
      </c>
      <c r="F67" s="112">
        <v>3881.76</v>
      </c>
      <c r="G67" s="112">
        <v>0</v>
      </c>
      <c r="H67" s="27">
        <f t="shared" si="0"/>
        <v>29</v>
      </c>
      <c r="I67" s="27" cm="1">
        <f t="array" ref="I67">IF(OR(B67={"R","U"}),E67,0)</f>
        <v>34857</v>
      </c>
      <c r="J67" s="27" t="str">
        <f>IF(B67="U","Unbilled",INDEX(Code!B:B,MATCH(LEFT(C67,10),Code!A:A,0)))</f>
        <v>Schedule 24</v>
      </c>
    </row>
    <row r="68" spans="1:10">
      <c r="A68" s="112" t="s">
        <v>7</v>
      </c>
      <c r="B68" s="112" t="s">
        <v>154</v>
      </c>
      <c r="C68" s="112" t="s">
        <v>125</v>
      </c>
      <c r="D68" s="112">
        <v>9</v>
      </c>
      <c r="E68" s="112">
        <v>95360</v>
      </c>
      <c r="F68" s="112">
        <v>12953.67</v>
      </c>
      <c r="G68" s="112">
        <v>0</v>
      </c>
      <c r="H68" s="27">
        <f t="shared" ref="H68:H131" si="1">IF(AND(B68&lt;&gt;"B",J68&lt;&gt;"Blue Sky",J68&lt;&gt;"Ignore"),D68,0)</f>
        <v>9</v>
      </c>
      <c r="I68" s="27" cm="1">
        <f t="array" ref="I68">IF(OR(B68={"R","U"}),E68,0)</f>
        <v>95360</v>
      </c>
      <c r="J68" s="27" t="str">
        <f>IF(B68="U","Unbilled",INDEX(Code!B:B,MATCH(LEFT(C68,10),Code!A:A,0)))</f>
        <v>Schedule 29,36</v>
      </c>
    </row>
    <row r="69" spans="1:10">
      <c r="A69" s="112" t="s">
        <v>7</v>
      </c>
      <c r="B69" s="112" t="s">
        <v>154</v>
      </c>
      <c r="C69" s="112" t="s">
        <v>46</v>
      </c>
      <c r="D69" s="112">
        <v>434</v>
      </c>
      <c r="E69" s="112">
        <v>95496</v>
      </c>
      <c r="F69" s="112">
        <v>6157.61</v>
      </c>
      <c r="G69" s="112">
        <v>0</v>
      </c>
      <c r="H69" s="27">
        <f t="shared" si="1"/>
        <v>434</v>
      </c>
      <c r="I69" s="27" cm="1">
        <f t="array" ref="I69">IF(OR(B69={"R","U"}),E69,0)</f>
        <v>95496</v>
      </c>
      <c r="J69" s="27" t="str">
        <f>IF(B69="U","Unbilled",INDEX(Code!B:B,MATCH(LEFT(C69,10),Code!A:A,0)))</f>
        <v>Schedule 15</v>
      </c>
    </row>
    <row r="70" spans="1:10">
      <c r="A70" s="112" t="s">
        <v>7</v>
      </c>
      <c r="B70" s="112" t="s">
        <v>154</v>
      </c>
      <c r="C70" s="112" t="s">
        <v>104</v>
      </c>
      <c r="D70" s="112">
        <v>168</v>
      </c>
      <c r="E70" s="112">
        <v>26751</v>
      </c>
      <c r="F70" s="112">
        <v>2538.67</v>
      </c>
      <c r="G70" s="112">
        <v>0</v>
      </c>
      <c r="H70" s="27">
        <f t="shared" si="1"/>
        <v>168</v>
      </c>
      <c r="I70" s="27" cm="1">
        <f t="array" ref="I70">IF(OR(B70={"R","U"}),E70,0)</f>
        <v>26751</v>
      </c>
      <c r="J70" s="27" t="str">
        <f>IF(B70="U","Unbilled",INDEX(Code!B:B,MATCH(LEFT(C70,10),Code!A:A,0)))</f>
        <v>Schedule 15</v>
      </c>
    </row>
    <row r="71" spans="1:10">
      <c r="A71" s="112" t="s">
        <v>7</v>
      </c>
      <c r="B71" s="112" t="s">
        <v>154</v>
      </c>
      <c r="C71" s="112" t="s">
        <v>57</v>
      </c>
      <c r="D71" s="112">
        <v>12</v>
      </c>
      <c r="E71" s="112">
        <v>1710000</v>
      </c>
      <c r="F71" s="112">
        <v>312626.78000000003</v>
      </c>
      <c r="G71" s="112">
        <v>0</v>
      </c>
      <c r="H71" s="27">
        <f t="shared" si="1"/>
        <v>12</v>
      </c>
      <c r="I71" s="27" cm="1">
        <f t="array" ref="I71">IF(OR(B71={"R","U"}),E71,0)</f>
        <v>1710000</v>
      </c>
      <c r="J71" s="27" t="str">
        <f>IF(B71="U","Unbilled",INDEX(Code!B:B,MATCH(LEFT(C71,10),Code!A:A,0)))</f>
        <v>Schedule 47T</v>
      </c>
    </row>
    <row r="72" spans="1:10">
      <c r="A72" s="112" t="s">
        <v>7</v>
      </c>
      <c r="B72" s="112" t="s">
        <v>154</v>
      </c>
      <c r="C72" s="112" t="s">
        <v>298</v>
      </c>
      <c r="D72" s="112">
        <v>0</v>
      </c>
      <c r="E72" s="112">
        <v>0</v>
      </c>
      <c r="F72" s="112">
        <v>2206257.17</v>
      </c>
      <c r="G72" s="112">
        <v>0</v>
      </c>
      <c r="H72" s="27">
        <f t="shared" si="1"/>
        <v>0</v>
      </c>
      <c r="I72" s="27" cm="1">
        <f t="array" ref="I72">IF(OR(B72={"R","U"}),E72,0)</f>
        <v>0</v>
      </c>
      <c r="J72" s="27" t="str">
        <f>IF(B72="U","Unbilled",INDEX(Code!B:B,MATCH(LEFT(C72,10),Code!A:A,0)))</f>
        <v>DSM</v>
      </c>
    </row>
    <row r="73" spans="1:10">
      <c r="A73" s="112" t="s">
        <v>7</v>
      </c>
      <c r="B73" s="112" t="s">
        <v>154</v>
      </c>
      <c r="C73" s="112" t="s">
        <v>157</v>
      </c>
      <c r="D73" s="112">
        <v>0</v>
      </c>
      <c r="E73" s="112">
        <v>0</v>
      </c>
      <c r="F73" s="112">
        <v>26.44</v>
      </c>
      <c r="G73" s="112">
        <v>0</v>
      </c>
      <c r="H73" s="27">
        <f t="shared" si="1"/>
        <v>0</v>
      </c>
      <c r="I73" s="27" cm="1">
        <f t="array" ref="I73">IF(OR(B73={"R","U"}),E73,0)</f>
        <v>0</v>
      </c>
      <c r="J73" s="27" t="str">
        <f>IF(B73="U","Unbilled",INDEX(Code!B:B,MATCH(LEFT(C73,10),Code!A:A,0)))</f>
        <v>Blue Sky</v>
      </c>
    </row>
    <row r="74" spans="1:10">
      <c r="A74" s="112" t="s">
        <v>7</v>
      </c>
      <c r="B74" s="112" t="s">
        <v>154</v>
      </c>
      <c r="C74" s="112" t="s">
        <v>182</v>
      </c>
      <c r="D74" s="112">
        <v>0</v>
      </c>
      <c r="E74" s="112">
        <v>0</v>
      </c>
      <c r="F74" s="112">
        <v>20010.68</v>
      </c>
      <c r="G74" s="112">
        <v>0</v>
      </c>
      <c r="H74" s="27">
        <f t="shared" si="1"/>
        <v>0</v>
      </c>
      <c r="I74" s="27" cm="1">
        <f t="array" ref="I74">IF(OR(B74={"R","U"}),E74,0)</f>
        <v>0</v>
      </c>
      <c r="J74" s="27" t="str">
        <f>IF(B74="U","Unbilled",INDEX(Code!B:B,MATCH(LEFT(C74,10),Code!A:A,0)))</f>
        <v>Rev Adj Property Insur</v>
      </c>
    </row>
    <row r="75" spans="1:10">
      <c r="A75" s="112" t="s">
        <v>7</v>
      </c>
      <c r="B75" s="112" t="s">
        <v>154</v>
      </c>
      <c r="C75" s="112" t="s">
        <v>297</v>
      </c>
      <c r="D75" s="112">
        <v>0</v>
      </c>
      <c r="E75" s="112">
        <v>0</v>
      </c>
      <c r="F75" s="112">
        <v>17513.25</v>
      </c>
      <c r="G75" s="112">
        <v>0</v>
      </c>
      <c r="H75" s="27">
        <f t="shared" si="1"/>
        <v>0</v>
      </c>
      <c r="I75" s="27" cm="1">
        <f t="array" ref="I75">IF(OR(B75={"R","U"}),E75,0)</f>
        <v>0</v>
      </c>
      <c r="J75" s="27" t="str">
        <f>IF(B75="U","Unbilled",INDEX(Code!B:B,MATCH(LEFT(C75,10),Code!A:A,0)))</f>
        <v>Alt Rev Program</v>
      </c>
    </row>
    <row r="76" spans="1:10">
      <c r="A76" s="112" t="s">
        <v>7</v>
      </c>
      <c r="B76" s="112" t="s">
        <v>154</v>
      </c>
      <c r="C76" s="112" t="s">
        <v>52</v>
      </c>
      <c r="D76" s="112">
        <v>0</v>
      </c>
      <c r="G76" s="112">
        <v>5622</v>
      </c>
      <c r="H76" s="27">
        <f t="shared" si="1"/>
        <v>0</v>
      </c>
      <c r="I76" s="27" cm="1">
        <f t="array" ref="I76">IF(OR(B76={"R","U"}),E76,0)</f>
        <v>0</v>
      </c>
      <c r="J76" s="27" t="str">
        <f>IF(B76="U","Unbilled",INDEX(Code!B:B,MATCH(LEFT(C76,10),Code!A:A,0)))</f>
        <v>CustIDs</v>
      </c>
    </row>
    <row r="77" spans="1:10">
      <c r="A77" s="112" t="s">
        <v>7</v>
      </c>
      <c r="B77" s="112" t="s">
        <v>154</v>
      </c>
      <c r="C77" s="112" t="s">
        <v>184</v>
      </c>
      <c r="D77" s="112">
        <v>0</v>
      </c>
      <c r="E77" s="112">
        <v>0</v>
      </c>
      <c r="F77" s="112">
        <v>324830.88</v>
      </c>
      <c r="G77" s="112">
        <v>0</v>
      </c>
      <c r="H77" s="27">
        <f t="shared" si="1"/>
        <v>0</v>
      </c>
      <c r="I77" s="27" cm="1">
        <f t="array" ref="I77">IF(OR(B77={"R","U"}),E77,0)</f>
        <v>0</v>
      </c>
      <c r="J77" s="27" t="str">
        <f>IF(B77="U","Unbilled",INDEX(Code!B:B,MATCH(LEFT(C77,10),Code!A:A,0)))</f>
        <v>Income Tax Defer Adj</v>
      </c>
    </row>
    <row r="78" spans="1:10">
      <c r="A78" s="112" t="s">
        <v>7</v>
      </c>
      <c r="B78" s="112" t="s">
        <v>154</v>
      </c>
      <c r="C78" s="112" t="s">
        <v>124</v>
      </c>
      <c r="D78" s="112">
        <v>0</v>
      </c>
      <c r="E78" s="112">
        <v>0</v>
      </c>
      <c r="F78" s="112">
        <v>609945.92000000004</v>
      </c>
      <c r="G78" s="112">
        <v>0</v>
      </c>
      <c r="H78" s="27">
        <f t="shared" si="1"/>
        <v>0</v>
      </c>
      <c r="I78" s="27" cm="1">
        <f t="array" ref="I78">IF(OR(B78={"R","U"}),E78,0)</f>
        <v>0</v>
      </c>
      <c r="J78" s="27" t="str">
        <f>IF(B78="U","Unbilled",INDEX(Code!B:B,MATCH(LEFT(C78,10),Code!A:A,0)))</f>
        <v>Rev Adj</v>
      </c>
    </row>
    <row r="79" spans="1:10">
      <c r="A79" s="112" t="s">
        <v>7</v>
      </c>
      <c r="B79" s="112" t="s">
        <v>154</v>
      </c>
      <c r="C79" s="112" t="s">
        <v>131</v>
      </c>
      <c r="D79" s="112">
        <v>0</v>
      </c>
      <c r="E79" s="112">
        <v>0</v>
      </c>
      <c r="F79" s="112">
        <v>19748.830000000002</v>
      </c>
      <c r="G79" s="112">
        <v>0</v>
      </c>
      <c r="H79" s="27">
        <f t="shared" si="1"/>
        <v>0</v>
      </c>
      <c r="I79" s="27" cm="1">
        <f t="array" ref="I79">IF(OR(B79={"R","U"}),E79,0)</f>
        <v>0</v>
      </c>
      <c r="J79" s="27" t="str">
        <f>IF(B79="U","Unbilled",INDEX(Code!B:B,MATCH(LEFT(C79,10),Code!A:A,0)))</f>
        <v>Rev Adj</v>
      </c>
    </row>
    <row r="80" spans="1:10">
      <c r="A80" s="112" t="s">
        <v>7</v>
      </c>
      <c r="B80" s="112" t="s">
        <v>155</v>
      </c>
      <c r="C80" s="112" t="s">
        <v>53</v>
      </c>
      <c r="D80" s="112">
        <v>0</v>
      </c>
      <c r="E80" s="112">
        <v>6151000</v>
      </c>
      <c r="F80" s="112">
        <v>1243000</v>
      </c>
      <c r="G80" s="112">
        <v>0</v>
      </c>
      <c r="H80" s="27">
        <f t="shared" si="1"/>
        <v>0</v>
      </c>
      <c r="I80" s="27" cm="1">
        <f t="array" ref="I80">IF(OR(B80={"R","U"}),E80,0)</f>
        <v>6151000</v>
      </c>
      <c r="J80" s="27" t="str">
        <f>IF(B80="U","Unbilled",INDEX(Code!B:B,MATCH(LEFT(C80,10),Code!A:A,0)))</f>
        <v>Unbilled</v>
      </c>
    </row>
    <row r="81" spans="1:10">
      <c r="A81" s="112" t="s">
        <v>179</v>
      </c>
      <c r="B81" s="112" t="s">
        <v>288</v>
      </c>
      <c r="C81" s="112" t="s">
        <v>59</v>
      </c>
      <c r="D81" s="112">
        <v>29184</v>
      </c>
      <c r="E81" s="112">
        <v>90832550</v>
      </c>
      <c r="F81" s="112">
        <v>-743850.58</v>
      </c>
      <c r="G81" s="112">
        <v>0</v>
      </c>
      <c r="H81" s="27">
        <f t="shared" si="1"/>
        <v>0</v>
      </c>
      <c r="I81" s="27" cm="1">
        <f t="array" ref="I81">IF(OR(B81={"R","U"}),E81,0)</f>
        <v>0</v>
      </c>
      <c r="J81" s="27" t="str">
        <f>IF(B81="U","Unbilled",INDEX(Code!B:B,MATCH(LEFT(C81,10),Code!A:A,0)))</f>
        <v>Schedule 40</v>
      </c>
    </row>
    <row r="82" spans="1:10">
      <c r="A82" s="112" t="s">
        <v>179</v>
      </c>
      <c r="B82" s="112" t="s">
        <v>288</v>
      </c>
      <c r="C82" s="112" t="s">
        <v>299</v>
      </c>
      <c r="E82" s="112">
        <v>-10762686</v>
      </c>
      <c r="F82" s="112">
        <v>83580.22</v>
      </c>
      <c r="H82" s="27">
        <f t="shared" si="1"/>
        <v>0</v>
      </c>
      <c r="I82" s="27" cm="1">
        <f t="array" ref="I82">IF(OR(B82={"R","U"}),E82,0)</f>
        <v>0</v>
      </c>
      <c r="J82" s="27" t="str">
        <f>IF(B82="U","Unbilled",INDEX(Code!B:B,MATCH(LEFT(C82,10),Code!A:A,0)))</f>
        <v>BPA Adj Fee</v>
      </c>
    </row>
    <row r="83" spans="1:10">
      <c r="A83" s="112" t="s">
        <v>179</v>
      </c>
      <c r="B83" s="112" t="s">
        <v>288</v>
      </c>
      <c r="C83" s="112" t="s">
        <v>300</v>
      </c>
      <c r="D83" s="112">
        <v>128</v>
      </c>
      <c r="E83" s="112">
        <v>305336</v>
      </c>
      <c r="F83" s="112">
        <v>-2303.62</v>
      </c>
      <c r="G83" s="112">
        <v>0</v>
      </c>
      <c r="H83" s="27">
        <f t="shared" si="1"/>
        <v>0</v>
      </c>
      <c r="I83" s="27" cm="1">
        <f t="array" ref="I83">IF(OR(B83={"R","U"}),E83,0)</f>
        <v>0</v>
      </c>
      <c r="J83" s="27" t="str">
        <f>IF(B83="U","Unbilled",INDEX(Code!B:B,MATCH(LEFT(C83,10),Code!A:A,0)))</f>
        <v>Schedule 40</v>
      </c>
    </row>
    <row r="84" spans="1:10">
      <c r="A84" s="112" t="s">
        <v>179</v>
      </c>
      <c r="B84" s="112" t="s">
        <v>288</v>
      </c>
      <c r="C84" s="112" t="s">
        <v>62</v>
      </c>
      <c r="D84" s="112">
        <v>0</v>
      </c>
      <c r="G84" s="112">
        <v>28703</v>
      </c>
      <c r="H84" s="27">
        <f t="shared" si="1"/>
        <v>0</v>
      </c>
      <c r="I84" s="27" cm="1">
        <f t="array" ref="I84">IF(OR(B84={"R","U"}),E84,0)</f>
        <v>0</v>
      </c>
      <c r="J84" s="27" t="str">
        <f>IF(B84="U","Unbilled",INDEX(Code!B:B,MATCH(LEFT(C84,10),Code!A:A,0)))</f>
        <v>CustIDs</v>
      </c>
    </row>
    <row r="85" spans="1:10">
      <c r="A85" s="112" t="s">
        <v>179</v>
      </c>
      <c r="B85" s="112" t="s">
        <v>288</v>
      </c>
      <c r="C85" s="112" t="s">
        <v>63</v>
      </c>
      <c r="D85" s="112">
        <v>0</v>
      </c>
      <c r="E85" s="112">
        <v>0</v>
      </c>
      <c r="F85" s="112">
        <v>16810.400000000001</v>
      </c>
      <c r="G85" s="112">
        <v>0</v>
      </c>
      <c r="H85" s="27">
        <f t="shared" si="1"/>
        <v>0</v>
      </c>
      <c r="I85" s="27" cm="1">
        <f t="array" ref="I85">IF(OR(B85={"R","U"}),E85,0)</f>
        <v>0</v>
      </c>
      <c r="J85" s="27" t="str">
        <f>IF(B85="U","Unbilled",INDEX(Code!B:B,MATCH(LEFT(C85,10),Code!A:A,0)))</f>
        <v>BPA Bal Acct</v>
      </c>
    </row>
    <row r="86" spans="1:10">
      <c r="A86" s="112" t="s">
        <v>179</v>
      </c>
      <c r="B86" s="112" t="s">
        <v>154</v>
      </c>
      <c r="C86" s="112" t="s">
        <v>59</v>
      </c>
      <c r="D86" s="112">
        <v>29184</v>
      </c>
      <c r="E86" s="112">
        <v>90832519</v>
      </c>
      <c r="F86" s="112">
        <v>7807904.2199999997</v>
      </c>
      <c r="G86" s="112">
        <v>0</v>
      </c>
      <c r="H86" s="27">
        <f t="shared" si="1"/>
        <v>29184</v>
      </c>
      <c r="I86" s="27" cm="1">
        <f t="array" ref="I86">IF(OR(B86={"R","U"}),E86,0)</f>
        <v>90832519</v>
      </c>
      <c r="J86" s="27" t="str">
        <f>IF(B86="U","Unbilled",INDEX(Code!B:B,MATCH(LEFT(C86,10),Code!A:A,0)))</f>
        <v>Schedule 40</v>
      </c>
    </row>
    <row r="87" spans="1:10">
      <c r="A87" s="112" t="s">
        <v>179</v>
      </c>
      <c r="B87" s="112" t="s">
        <v>154</v>
      </c>
      <c r="C87" s="112" t="s">
        <v>60</v>
      </c>
      <c r="D87" s="112">
        <v>32093</v>
      </c>
      <c r="E87" s="112">
        <v>74921831</v>
      </c>
      <c r="F87" s="112">
        <v>6530534.4100000001</v>
      </c>
      <c r="G87" s="112">
        <v>0</v>
      </c>
      <c r="H87" s="27">
        <f t="shared" si="1"/>
        <v>32093</v>
      </c>
      <c r="I87" s="27" cm="1">
        <f t="array" ref="I87">IF(OR(B87={"R","U"}),E87,0)</f>
        <v>74921831</v>
      </c>
      <c r="J87" s="27" t="str">
        <f>IF(B87="U","Unbilled",INDEX(Code!B:B,MATCH(LEFT(C87,10),Code!A:A,0)))</f>
        <v>Schedule 40</v>
      </c>
    </row>
    <row r="88" spans="1:10">
      <c r="A88" s="112" t="s">
        <v>179</v>
      </c>
      <c r="B88" s="112" t="s">
        <v>154</v>
      </c>
      <c r="C88" s="112" t="s">
        <v>41</v>
      </c>
      <c r="E88" s="112">
        <v>0</v>
      </c>
      <c r="F88" s="112">
        <v>16516.34</v>
      </c>
      <c r="H88" s="27">
        <f t="shared" si="1"/>
        <v>0</v>
      </c>
      <c r="I88" s="27" cm="1">
        <f t="array" ref="I88">IF(OR(B88={"R","U"}),E88,0)</f>
        <v>0</v>
      </c>
      <c r="J88" s="27" t="str">
        <f>IF(B88="U","Unbilled",INDEX(Code!B:B,MATCH(LEFT(C88,10),Code!A:A,0)))</f>
        <v>Annual Guarantee Adjustments</v>
      </c>
    </row>
    <row r="89" spans="1:10">
      <c r="A89" s="112" t="s">
        <v>179</v>
      </c>
      <c r="B89" s="112" t="s">
        <v>154</v>
      </c>
      <c r="C89" s="112" t="s">
        <v>42</v>
      </c>
      <c r="E89" s="112">
        <v>0</v>
      </c>
      <c r="F89" s="112">
        <v>76.62</v>
      </c>
      <c r="H89" s="27">
        <f t="shared" si="1"/>
        <v>0</v>
      </c>
      <c r="I89" s="27" cm="1">
        <f t="array" ref="I89">IF(OR(B89={"R","U"}),E89,0)</f>
        <v>0</v>
      </c>
      <c r="J89" s="27" t="str">
        <f>IF(B89="U","Unbilled",INDEX(Code!B:B,MATCH(LEFT(C89,10),Code!A:A,0)))</f>
        <v>Annual Guarantee Adjustments</v>
      </c>
    </row>
    <row r="90" spans="1:10">
      <c r="A90" s="112" t="s">
        <v>179</v>
      </c>
      <c r="B90" s="112" t="s">
        <v>154</v>
      </c>
      <c r="C90" s="112" t="s">
        <v>43</v>
      </c>
      <c r="E90" s="112">
        <v>0</v>
      </c>
      <c r="F90" s="112">
        <v>899.38</v>
      </c>
      <c r="H90" s="27">
        <f t="shared" si="1"/>
        <v>0</v>
      </c>
      <c r="I90" s="27" cm="1">
        <f t="array" ref="I90">IF(OR(B90={"R","U"}),E90,0)</f>
        <v>0</v>
      </c>
      <c r="J90" s="27" t="str">
        <f>IF(B90="U","Unbilled",INDEX(Code!B:B,MATCH(LEFT(C90,10),Code!A:A,0)))</f>
        <v>Annual Guarantee Adjustments</v>
      </c>
    </row>
    <row r="91" spans="1:10">
      <c r="A91" s="112" t="s">
        <v>179</v>
      </c>
      <c r="B91" s="112" t="s">
        <v>154</v>
      </c>
      <c r="C91" s="112" t="s">
        <v>44</v>
      </c>
      <c r="E91" s="112">
        <v>0</v>
      </c>
      <c r="F91" s="112">
        <v>87043.07</v>
      </c>
      <c r="H91" s="27">
        <f t="shared" si="1"/>
        <v>0</v>
      </c>
      <c r="I91" s="27" cm="1">
        <f t="array" ref="I91">IF(OR(B91={"R","U"}),E91,0)</f>
        <v>0</v>
      </c>
      <c r="J91" s="27" t="str">
        <f>IF(B91="U","Unbilled",INDEX(Code!B:B,MATCH(LEFT(C91,10),Code!A:A,0)))</f>
        <v>Annual Guarantee Adjustments</v>
      </c>
    </row>
    <row r="92" spans="1:10">
      <c r="A92" s="112" t="s">
        <v>179</v>
      </c>
      <c r="B92" s="112" t="s">
        <v>154</v>
      </c>
      <c r="C92" s="112" t="s">
        <v>112</v>
      </c>
      <c r="E92" s="112">
        <v>0</v>
      </c>
      <c r="F92" s="112">
        <v>13214.61</v>
      </c>
      <c r="H92" s="27">
        <f t="shared" si="1"/>
        <v>0</v>
      </c>
      <c r="I92" s="27" cm="1">
        <f t="array" ref="I92">IF(OR(B92={"R","U"}),E92,0)</f>
        <v>0</v>
      </c>
      <c r="J92" s="27" t="str">
        <f>IF(B92="U","Unbilled",INDEX(Code!B:B,MATCH(LEFT(C92,10),Code!A:A,0)))</f>
        <v>Annual Guarantee Adjustments</v>
      </c>
    </row>
    <row r="93" spans="1:10">
      <c r="A93" s="112" t="s">
        <v>179</v>
      </c>
      <c r="B93" s="112" t="s">
        <v>154</v>
      </c>
      <c r="C93" s="112" t="s">
        <v>113</v>
      </c>
      <c r="E93" s="112">
        <v>0</v>
      </c>
      <c r="F93" s="112">
        <v>22568.35</v>
      </c>
      <c r="H93" s="27">
        <f t="shared" si="1"/>
        <v>0</v>
      </c>
      <c r="I93" s="27" cm="1">
        <f t="array" ref="I93">IF(OR(B93={"R","U"}),E93,0)</f>
        <v>0</v>
      </c>
      <c r="J93" s="27" t="str">
        <f>IF(B93="U","Unbilled",INDEX(Code!B:B,MATCH(LEFT(C93,10),Code!A:A,0)))</f>
        <v>Annual Guarantee Adjustments</v>
      </c>
    </row>
    <row r="94" spans="1:10">
      <c r="A94" s="112" t="s">
        <v>179</v>
      </c>
      <c r="B94" s="112" t="s">
        <v>154</v>
      </c>
      <c r="C94" s="112" t="s">
        <v>301</v>
      </c>
      <c r="D94" s="112">
        <v>128</v>
      </c>
      <c r="E94" s="112">
        <v>305336</v>
      </c>
      <c r="F94" s="112">
        <v>32893.19</v>
      </c>
      <c r="G94" s="112">
        <v>0</v>
      </c>
      <c r="H94" s="27">
        <f t="shared" si="1"/>
        <v>128</v>
      </c>
      <c r="I94" s="27" cm="1">
        <f t="array" ref="I94">IF(OR(B94={"R","U"}),E94,0)</f>
        <v>305336</v>
      </c>
      <c r="J94" s="27" t="str">
        <f>IF(B94="U","Unbilled",INDEX(Code!B:B,MATCH(LEFT(C94,10),Code!A:A,0)))</f>
        <v>Schedule 40</v>
      </c>
    </row>
    <row r="95" spans="1:10">
      <c r="A95" s="112" t="s">
        <v>179</v>
      </c>
      <c r="B95" s="112" t="s">
        <v>154</v>
      </c>
      <c r="C95" s="112" t="s">
        <v>302</v>
      </c>
      <c r="D95" s="112">
        <v>148</v>
      </c>
      <c r="E95" s="112">
        <v>58213</v>
      </c>
      <c r="F95" s="112">
        <v>11429.43</v>
      </c>
      <c r="G95" s="112">
        <v>0</v>
      </c>
      <c r="H95" s="27">
        <f t="shared" si="1"/>
        <v>148</v>
      </c>
      <c r="I95" s="27" cm="1">
        <f t="array" ref="I95">IF(OR(B95={"R","U"}),E95,0)</f>
        <v>58213</v>
      </c>
      <c r="J95" s="27" t="str">
        <f>IF(B95="U","Unbilled",INDEX(Code!B:B,MATCH(LEFT(C95,10),Code!A:A,0)))</f>
        <v>Schedule 40</v>
      </c>
    </row>
    <row r="96" spans="1:10">
      <c r="A96" s="112" t="s">
        <v>179</v>
      </c>
      <c r="B96" s="112" t="s">
        <v>154</v>
      </c>
      <c r="C96" s="112" t="s">
        <v>303</v>
      </c>
      <c r="D96" s="112">
        <v>0</v>
      </c>
      <c r="E96" s="112">
        <v>0</v>
      </c>
      <c r="F96" s="112">
        <v>0</v>
      </c>
      <c r="G96" s="112">
        <v>0</v>
      </c>
      <c r="H96" s="27">
        <f t="shared" si="1"/>
        <v>0</v>
      </c>
      <c r="I96" s="27" cm="1">
        <f t="array" ref="I96">IF(OR(B96={"R","U"}),E96,0)</f>
        <v>0</v>
      </c>
      <c r="J96" s="27" t="str">
        <f>IF(B96="U","Unbilled",INDEX(Code!B:B,MATCH(LEFT(C96,10),Code!A:A,0)))</f>
        <v>Customer Bill Credits</v>
      </c>
    </row>
    <row r="97" spans="1:10">
      <c r="A97" s="112" t="s">
        <v>179</v>
      </c>
      <c r="B97" s="112" t="s">
        <v>154</v>
      </c>
      <c r="C97" s="112" t="s">
        <v>126</v>
      </c>
      <c r="D97" s="112">
        <v>0</v>
      </c>
      <c r="E97" s="112">
        <v>0</v>
      </c>
      <c r="F97" s="112">
        <v>275000</v>
      </c>
      <c r="G97" s="112">
        <v>0</v>
      </c>
      <c r="H97" s="27">
        <f t="shared" si="1"/>
        <v>0</v>
      </c>
      <c r="I97" s="27" cm="1">
        <f t="array" ref="I97">IF(OR(B97={"R","U"}),E97,0)</f>
        <v>0</v>
      </c>
      <c r="J97" s="27" t="str">
        <f>IF(B97="U","Unbilled",INDEX(Code!B:B,MATCH(LEFT(C97,10),Code!A:A,0)))</f>
        <v>Irr Demand Charge Accrual</v>
      </c>
    </row>
    <row r="98" spans="1:10">
      <c r="A98" s="112" t="s">
        <v>179</v>
      </c>
      <c r="B98" s="112" t="s">
        <v>154</v>
      </c>
      <c r="C98" s="112" t="s">
        <v>143</v>
      </c>
      <c r="D98" s="112">
        <v>0</v>
      </c>
      <c r="E98" s="112">
        <v>0</v>
      </c>
      <c r="F98" s="112">
        <v>536487.11</v>
      </c>
      <c r="G98" s="112">
        <v>0</v>
      </c>
      <c r="H98" s="27">
        <f t="shared" si="1"/>
        <v>0</v>
      </c>
      <c r="I98" s="27" cm="1">
        <f t="array" ref="I98">IF(OR(B98={"R","U"}),E98,0)</f>
        <v>0</v>
      </c>
      <c r="J98" s="27" t="str">
        <f>IF(B98="U","Unbilled",INDEX(Code!B:B,MATCH(LEFT(C98,10),Code!A:A,0)))</f>
        <v>DSM</v>
      </c>
    </row>
    <row r="99" spans="1:10">
      <c r="A99" s="112" t="s">
        <v>179</v>
      </c>
      <c r="B99" s="112" t="s">
        <v>154</v>
      </c>
      <c r="C99" s="112" t="s">
        <v>144</v>
      </c>
      <c r="D99" s="112">
        <v>0</v>
      </c>
      <c r="E99" s="112">
        <v>0</v>
      </c>
      <c r="F99" s="112">
        <v>2235.14</v>
      </c>
      <c r="G99" s="112">
        <v>0</v>
      </c>
      <c r="H99" s="27">
        <f t="shared" si="1"/>
        <v>0</v>
      </c>
      <c r="I99" s="27" cm="1">
        <f t="array" ref="I99">IF(OR(B99={"R","U"}),E99,0)</f>
        <v>0</v>
      </c>
      <c r="J99" s="27" t="str">
        <f>IF(B99="U","Unbilled",INDEX(Code!B:B,MATCH(LEFT(C99,10),Code!A:A,0)))</f>
        <v>Blue Sky</v>
      </c>
    </row>
    <row r="100" spans="1:10">
      <c r="A100" s="112" t="s">
        <v>179</v>
      </c>
      <c r="B100" s="112" t="s">
        <v>154</v>
      </c>
      <c r="C100" s="112" t="s">
        <v>183</v>
      </c>
      <c r="D100" s="112">
        <v>0</v>
      </c>
      <c r="E100" s="112">
        <v>0</v>
      </c>
      <c r="F100" s="112">
        <v>5509.44</v>
      </c>
      <c r="G100" s="112">
        <v>0</v>
      </c>
      <c r="H100" s="27">
        <f t="shared" si="1"/>
        <v>0</v>
      </c>
      <c r="I100" s="27" cm="1">
        <f t="array" ref="I100">IF(OR(B100={"R","U"}),E100,0)</f>
        <v>0</v>
      </c>
      <c r="J100" s="27" t="str">
        <f>IF(B100="U","Unbilled",INDEX(Code!B:B,MATCH(LEFT(C100,10),Code!A:A,0)))</f>
        <v>Rev Adj Property Insur</v>
      </c>
    </row>
    <row r="101" spans="1:10">
      <c r="A101" s="112" t="s">
        <v>179</v>
      </c>
      <c r="B101" s="112" t="s">
        <v>154</v>
      </c>
      <c r="C101" s="112" t="s">
        <v>297</v>
      </c>
      <c r="D101" s="112">
        <v>0</v>
      </c>
      <c r="E101" s="112">
        <v>0</v>
      </c>
      <c r="F101" s="112">
        <v>26769.200000000001</v>
      </c>
      <c r="G101" s="112">
        <v>0</v>
      </c>
      <c r="H101" s="27">
        <f t="shared" si="1"/>
        <v>0</v>
      </c>
      <c r="I101" s="27" cm="1">
        <f t="array" ref="I101">IF(OR(B101={"R","U"}),E101,0)</f>
        <v>0</v>
      </c>
      <c r="J101" s="27" t="str">
        <f>IF(B101="U","Unbilled",INDEX(Code!B:B,MATCH(LEFT(C101,10),Code!A:A,0)))</f>
        <v>Alt Rev Program</v>
      </c>
    </row>
    <row r="102" spans="1:10">
      <c r="A102" s="112" t="s">
        <v>179</v>
      </c>
      <c r="B102" s="112" t="s">
        <v>154</v>
      </c>
      <c r="C102" s="112" t="s">
        <v>61</v>
      </c>
      <c r="D102" s="112">
        <v>0</v>
      </c>
      <c r="G102" s="112">
        <v>60096</v>
      </c>
      <c r="H102" s="27">
        <f t="shared" si="1"/>
        <v>0</v>
      </c>
      <c r="I102" s="27" cm="1">
        <f t="array" ref="I102">IF(OR(B102={"R","U"}),E102,0)</f>
        <v>0</v>
      </c>
      <c r="J102" s="27" t="str">
        <f>IF(B102="U","Unbilled",INDEX(Code!B:B,MATCH(LEFT(C102,10),Code!A:A,0)))</f>
        <v>CustIDs</v>
      </c>
    </row>
    <row r="103" spans="1:10">
      <c r="A103" s="112" t="s">
        <v>179</v>
      </c>
      <c r="B103" s="112" t="s">
        <v>154</v>
      </c>
      <c r="C103" s="112" t="s">
        <v>184</v>
      </c>
      <c r="D103" s="112">
        <v>0</v>
      </c>
      <c r="E103" s="112">
        <v>0</v>
      </c>
      <c r="F103" s="112">
        <v>61977.3</v>
      </c>
      <c r="G103" s="112">
        <v>0</v>
      </c>
      <c r="H103" s="27">
        <f t="shared" si="1"/>
        <v>0</v>
      </c>
      <c r="I103" s="27" cm="1">
        <f t="array" ref="I103">IF(OR(B103={"R","U"}),E103,0)</f>
        <v>0</v>
      </c>
      <c r="J103" s="27" t="str">
        <f>IF(B103="U","Unbilled",INDEX(Code!B:B,MATCH(LEFT(C103,10),Code!A:A,0)))</f>
        <v>Income Tax Defer Adj</v>
      </c>
    </row>
    <row r="104" spans="1:10">
      <c r="A104" s="112" t="s">
        <v>179</v>
      </c>
      <c r="B104" s="112" t="s">
        <v>154</v>
      </c>
      <c r="C104" s="112" t="s">
        <v>124</v>
      </c>
      <c r="D104" s="112">
        <v>0</v>
      </c>
      <c r="E104" s="112">
        <v>0</v>
      </c>
      <c r="F104" s="112">
        <v>545374.48</v>
      </c>
      <c r="G104" s="112">
        <v>0</v>
      </c>
      <c r="H104" s="27">
        <f t="shared" si="1"/>
        <v>0</v>
      </c>
      <c r="I104" s="27" cm="1">
        <f t="array" ref="I104">IF(OR(B104={"R","U"}),E104,0)</f>
        <v>0</v>
      </c>
      <c r="J104" s="27" t="str">
        <f>IF(B104="U","Unbilled",INDEX(Code!B:B,MATCH(LEFT(C104,10),Code!A:A,0)))</f>
        <v>Rev Adj</v>
      </c>
    </row>
    <row r="105" spans="1:10">
      <c r="A105" s="112" t="s">
        <v>179</v>
      </c>
      <c r="B105" s="112" t="s">
        <v>154</v>
      </c>
      <c r="C105" s="112" t="s">
        <v>131</v>
      </c>
      <c r="D105" s="112">
        <v>0</v>
      </c>
      <c r="E105" s="112">
        <v>0</v>
      </c>
      <c r="F105" s="112">
        <v>4144.18</v>
      </c>
      <c r="G105" s="112">
        <v>0</v>
      </c>
      <c r="H105" s="27">
        <f t="shared" si="1"/>
        <v>0</v>
      </c>
      <c r="I105" s="27" cm="1">
        <f t="array" ref="I105">IF(OR(B105={"R","U"}),E105,0)</f>
        <v>0</v>
      </c>
      <c r="J105" s="27" t="str">
        <f>IF(B105="U","Unbilled",INDEX(Code!B:B,MATCH(LEFT(C105,10),Code!A:A,0)))</f>
        <v>Rev Adj</v>
      </c>
    </row>
    <row r="106" spans="1:10">
      <c r="A106" s="112" t="s">
        <v>179</v>
      </c>
      <c r="B106" s="112" t="s">
        <v>155</v>
      </c>
      <c r="C106" s="112" t="s">
        <v>64</v>
      </c>
      <c r="D106" s="112">
        <v>0</v>
      </c>
      <c r="E106" s="112">
        <v>-10577000</v>
      </c>
      <c r="F106" s="112">
        <v>-1729000</v>
      </c>
      <c r="G106" s="112">
        <v>0</v>
      </c>
      <c r="H106" s="27">
        <f t="shared" si="1"/>
        <v>0</v>
      </c>
      <c r="I106" s="27" cm="1">
        <f t="array" ref="I106">IF(OR(B106={"R","U"}),E106,0)</f>
        <v>-10577000</v>
      </c>
      <c r="J106" s="27" t="str">
        <f>IF(B106="U","Unbilled",INDEX(Code!B:B,MATCH(LEFT(C106,10),Code!A:A,0)))</f>
        <v>Unbilled</v>
      </c>
    </row>
    <row r="107" spans="1:10">
      <c r="A107" s="112" t="s">
        <v>167</v>
      </c>
      <c r="B107" s="112" t="s">
        <v>154</v>
      </c>
      <c r="C107" s="112" t="s">
        <v>66</v>
      </c>
      <c r="E107" s="112">
        <v>0</v>
      </c>
      <c r="F107" s="112">
        <v>90.84</v>
      </c>
      <c r="H107" s="27">
        <f t="shared" si="1"/>
        <v>0</v>
      </c>
      <c r="I107" s="27" cm="1">
        <f t="array" ref="I107">IF(OR(B107={"R","U"}),E107,0)</f>
        <v>0</v>
      </c>
      <c r="J107" s="27" t="str">
        <f>IF(B107="U","Unbilled",INDEX(Code!B:B,MATCH(LEFT(C107,10),Code!A:A,0)))</f>
        <v>Annual Guarantee Adjustments</v>
      </c>
    </row>
    <row r="108" spans="1:10">
      <c r="A108" s="112" t="s">
        <v>167</v>
      </c>
      <c r="B108" s="112" t="s">
        <v>154</v>
      </c>
      <c r="C108" s="112" t="s">
        <v>68</v>
      </c>
      <c r="D108" s="112">
        <v>1428</v>
      </c>
      <c r="E108" s="112">
        <v>1398266</v>
      </c>
      <c r="F108" s="112">
        <v>62273.85</v>
      </c>
      <c r="G108" s="112">
        <v>0</v>
      </c>
      <c r="H108" s="27">
        <f t="shared" si="1"/>
        <v>1428</v>
      </c>
      <c r="I108" s="27" cm="1">
        <f t="array" ref="I108">IF(OR(B108={"R","U"}),E108,0)</f>
        <v>1398266</v>
      </c>
      <c r="J108" s="27" t="str">
        <f>IF(B108="U","Unbilled",INDEX(Code!B:B,MATCH(LEFT(C108,10),Code!A:A,0)))</f>
        <v>Schedule 53</v>
      </c>
    </row>
    <row r="109" spans="1:10">
      <c r="A109" s="112" t="s">
        <v>167</v>
      </c>
      <c r="B109" s="112" t="s">
        <v>154</v>
      </c>
      <c r="C109" s="112" t="s">
        <v>69</v>
      </c>
      <c r="D109" s="112">
        <v>1363</v>
      </c>
      <c r="E109" s="112">
        <v>713586</v>
      </c>
      <c r="F109" s="112">
        <v>31376.02</v>
      </c>
      <c r="G109" s="112">
        <v>0</v>
      </c>
      <c r="H109" s="27">
        <f t="shared" si="1"/>
        <v>1363</v>
      </c>
      <c r="I109" s="27" cm="1">
        <f t="array" ref="I109">IF(OR(B109={"R","U"}),E109,0)</f>
        <v>713586</v>
      </c>
      <c r="J109" s="27" t="str">
        <f>IF(B109="U","Unbilled",INDEX(Code!B:B,MATCH(LEFT(C109,10),Code!A:A,0)))</f>
        <v>Schedule 53</v>
      </c>
    </row>
    <row r="110" spans="1:10">
      <c r="A110" s="112" t="s">
        <v>167</v>
      </c>
      <c r="B110" s="112" t="s">
        <v>154</v>
      </c>
      <c r="C110" s="112" t="s">
        <v>304</v>
      </c>
      <c r="D110" s="112">
        <v>2711</v>
      </c>
      <c r="E110" s="112">
        <v>1962495</v>
      </c>
      <c r="F110" s="112">
        <v>444222.36</v>
      </c>
      <c r="G110" s="112">
        <v>0</v>
      </c>
      <c r="H110" s="27">
        <f t="shared" si="1"/>
        <v>2711</v>
      </c>
      <c r="I110" s="27" cm="1">
        <f t="array" ref="I110">IF(OR(B110={"R","U"}),E110,0)</f>
        <v>1962495</v>
      </c>
      <c r="J110" s="27" t="str">
        <f>IF(B110="U","Unbilled",INDEX(Code!B:B,MATCH(LEFT(C110,10),Code!A:A,0)))</f>
        <v>Schedule 51</v>
      </c>
    </row>
    <row r="111" spans="1:10">
      <c r="A111" s="112" t="s">
        <v>167</v>
      </c>
      <c r="B111" s="112" t="s">
        <v>154</v>
      </c>
      <c r="C111" s="112" t="s">
        <v>146</v>
      </c>
      <c r="D111" s="112">
        <v>0</v>
      </c>
      <c r="E111" s="112">
        <v>0</v>
      </c>
      <c r="F111" s="112">
        <v>11595.93</v>
      </c>
      <c r="G111" s="112">
        <v>0</v>
      </c>
      <c r="H111" s="27">
        <f t="shared" si="1"/>
        <v>0</v>
      </c>
      <c r="I111" s="27" cm="1">
        <f t="array" ref="I111">IF(OR(B111={"R","U"}),E111,0)</f>
        <v>0</v>
      </c>
      <c r="J111" s="27" t="str">
        <f>IF(B111="U","Unbilled",INDEX(Code!B:B,MATCH(LEFT(C111,10),Code!A:A,0)))</f>
        <v>DSM</v>
      </c>
    </row>
    <row r="112" spans="1:10">
      <c r="A112" s="112" t="s">
        <v>167</v>
      </c>
      <c r="B112" s="112" t="s">
        <v>154</v>
      </c>
      <c r="C112" s="112" t="s">
        <v>52</v>
      </c>
      <c r="D112" s="112">
        <v>0</v>
      </c>
      <c r="G112" s="112">
        <v>2648</v>
      </c>
      <c r="H112" s="27">
        <f t="shared" si="1"/>
        <v>0</v>
      </c>
      <c r="I112" s="27" cm="1">
        <f t="array" ref="I112">IF(OR(B112={"R","U"}),E112,0)</f>
        <v>0</v>
      </c>
      <c r="J112" s="27" t="str">
        <f>IF(B112="U","Unbilled",INDEX(Code!B:B,MATCH(LEFT(C112,10),Code!A:A,0)))</f>
        <v>CustIDs</v>
      </c>
    </row>
    <row r="113" spans="1:10">
      <c r="A113" s="112" t="s">
        <v>167</v>
      </c>
      <c r="B113" s="112" t="s">
        <v>154</v>
      </c>
      <c r="C113" s="112" t="s">
        <v>184</v>
      </c>
      <c r="D113" s="112">
        <v>0</v>
      </c>
      <c r="E113" s="112">
        <v>0</v>
      </c>
      <c r="F113" s="112">
        <v>3821.16</v>
      </c>
      <c r="G113" s="112">
        <v>0</v>
      </c>
      <c r="H113" s="27">
        <f t="shared" si="1"/>
        <v>0</v>
      </c>
      <c r="I113" s="27" cm="1">
        <f t="array" ref="I113">IF(OR(B113={"R","U"}),E113,0)</f>
        <v>0</v>
      </c>
      <c r="J113" s="27" t="str">
        <f>IF(B113="U","Unbilled",INDEX(Code!B:B,MATCH(LEFT(C113,10),Code!A:A,0)))</f>
        <v>Income Tax Defer Adj</v>
      </c>
    </row>
    <row r="114" spans="1:10">
      <c r="A114" s="112" t="s">
        <v>167</v>
      </c>
      <c r="B114" s="112" t="s">
        <v>154</v>
      </c>
      <c r="C114" s="112" t="s">
        <v>124</v>
      </c>
      <c r="D114" s="112">
        <v>0</v>
      </c>
      <c r="E114" s="112">
        <v>0</v>
      </c>
      <c r="F114" s="112">
        <v>2413.6799999999998</v>
      </c>
      <c r="G114" s="112">
        <v>0</v>
      </c>
      <c r="H114" s="27">
        <f t="shared" si="1"/>
        <v>0</v>
      </c>
      <c r="I114" s="27" cm="1">
        <f t="array" ref="I114">IF(OR(B114={"R","U"}),E114,0)</f>
        <v>0</v>
      </c>
      <c r="J114" s="27" t="str">
        <f>IF(B114="U","Unbilled",INDEX(Code!B:B,MATCH(LEFT(C114,10),Code!A:A,0)))</f>
        <v>Rev Adj</v>
      </c>
    </row>
    <row r="115" spans="1:10">
      <c r="A115" s="112" t="s">
        <v>167</v>
      </c>
      <c r="B115" s="112" t="s">
        <v>155</v>
      </c>
      <c r="C115" s="112" t="s">
        <v>53</v>
      </c>
      <c r="D115" s="112">
        <v>0</v>
      </c>
      <c r="E115" s="112">
        <v>-290000</v>
      </c>
      <c r="F115" s="112">
        <v>-41000</v>
      </c>
      <c r="G115" s="112">
        <v>0</v>
      </c>
      <c r="H115" s="27">
        <f t="shared" si="1"/>
        <v>0</v>
      </c>
      <c r="I115" s="27" cm="1">
        <f t="array" ref="I115">IF(OR(B115={"R","U"}),E115,0)</f>
        <v>-290000</v>
      </c>
      <c r="J115" s="27" t="str">
        <f>IF(B115="U","Unbilled",INDEX(Code!B:B,MATCH(LEFT(C115,10),Code!A:A,0)))</f>
        <v>Unbilled</v>
      </c>
    </row>
    <row r="116" spans="1:10">
      <c r="A116" s="112" t="s">
        <v>4</v>
      </c>
      <c r="B116" s="112" t="s">
        <v>288</v>
      </c>
      <c r="C116" s="112" t="s">
        <v>121</v>
      </c>
      <c r="D116" s="112">
        <v>20367</v>
      </c>
      <c r="E116" s="112">
        <v>16740375</v>
      </c>
      <c r="F116" s="112">
        <v>-163915.70000000001</v>
      </c>
      <c r="G116" s="112">
        <v>0</v>
      </c>
      <c r="H116" s="27">
        <f t="shared" si="1"/>
        <v>0</v>
      </c>
      <c r="I116" s="27" cm="1">
        <f t="array" ref="I116">IF(OR(B116={"R","U"}),E116,0)</f>
        <v>0</v>
      </c>
      <c r="J116" s="27" t="str">
        <f>IF(B116="U","Unbilled",INDEX(Code!B:B,MATCH(LEFT(C116,10),Code!A:A,0)))</f>
        <v>Schedule 16,17,19</v>
      </c>
    </row>
    <row r="117" spans="1:10">
      <c r="A117" s="112" t="s">
        <v>4</v>
      </c>
      <c r="B117" s="112" t="s">
        <v>288</v>
      </c>
      <c r="C117" s="112" t="s">
        <v>108</v>
      </c>
      <c r="E117" s="112">
        <v>231779</v>
      </c>
      <c r="F117" s="112">
        <v>-2223.31</v>
      </c>
      <c r="H117" s="27">
        <f t="shared" si="1"/>
        <v>0</v>
      </c>
      <c r="I117" s="27" cm="1">
        <f t="array" ref="I117">IF(OR(B117={"R","U"}),E117,0)</f>
        <v>0</v>
      </c>
      <c r="J117" s="27" t="str">
        <f>IF(B117="U","Unbilled",INDEX(Code!B:B,MATCH(LEFT(C117,10),Code!A:A,0)))</f>
        <v>Schedule 15</v>
      </c>
    </row>
    <row r="118" spans="1:10">
      <c r="A118" s="112" t="s">
        <v>4</v>
      </c>
      <c r="B118" s="112" t="s">
        <v>288</v>
      </c>
      <c r="C118" s="112" t="s">
        <v>305</v>
      </c>
      <c r="D118" s="112">
        <v>1240103</v>
      </c>
      <c r="E118" s="112">
        <v>1524840786</v>
      </c>
      <c r="F118" s="112">
        <v>-14425806.08</v>
      </c>
      <c r="G118" s="112">
        <v>0</v>
      </c>
      <c r="H118" s="27">
        <f t="shared" si="1"/>
        <v>0</v>
      </c>
      <c r="I118" s="27" cm="1">
        <f t="array" ref="I118">IF(OR(B118={"R","U"}),E118,0)</f>
        <v>0</v>
      </c>
      <c r="J118" s="27" t="str">
        <f>IF(B118="U","Unbilled",INDEX(Code!B:B,MATCH(LEFT(C118,10),Code!A:A,0)))</f>
        <v>Schedule 16,17,19</v>
      </c>
    </row>
    <row r="119" spans="1:10">
      <c r="A119" s="112" t="s">
        <v>4</v>
      </c>
      <c r="B119" s="112" t="s">
        <v>288</v>
      </c>
      <c r="C119" s="112" t="s">
        <v>75</v>
      </c>
      <c r="D119" s="112">
        <v>69949</v>
      </c>
      <c r="E119" s="112">
        <v>91914289</v>
      </c>
      <c r="F119" s="112">
        <v>-891393.14</v>
      </c>
      <c r="G119" s="112">
        <v>0</v>
      </c>
      <c r="H119" s="27">
        <f t="shared" si="1"/>
        <v>0</v>
      </c>
      <c r="I119" s="27" cm="1">
        <f t="array" ref="I119">IF(OR(B119={"R","U"}),E119,0)</f>
        <v>0</v>
      </c>
      <c r="J119" s="27" t="str">
        <f>IF(B119="U","Unbilled",INDEX(Code!B:B,MATCH(LEFT(C119,10),Code!A:A,0)))</f>
        <v>Schedule 16,17,19</v>
      </c>
    </row>
    <row r="120" spans="1:10">
      <c r="A120" s="112" t="s">
        <v>4</v>
      </c>
      <c r="B120" s="112" t="s">
        <v>288</v>
      </c>
      <c r="C120" s="112" t="s">
        <v>306</v>
      </c>
      <c r="D120" s="112">
        <v>896</v>
      </c>
      <c r="E120" s="112">
        <v>2005705</v>
      </c>
      <c r="F120" s="112">
        <v>-18695</v>
      </c>
      <c r="G120" s="112">
        <v>0</v>
      </c>
      <c r="H120" s="27">
        <f t="shared" si="1"/>
        <v>0</v>
      </c>
      <c r="I120" s="27" cm="1">
        <f t="array" ref="I120">IF(OR(B120={"R","U"}),E120,0)</f>
        <v>0</v>
      </c>
      <c r="J120" s="27" t="str">
        <f>IF(B120="U","Unbilled",INDEX(Code!B:B,MATCH(LEFT(C120,10),Code!A:A,0)))</f>
        <v>Schedule 16,17,19</v>
      </c>
    </row>
    <row r="121" spans="1:10">
      <c r="A121" s="112" t="s">
        <v>4</v>
      </c>
      <c r="B121" s="112" t="s">
        <v>288</v>
      </c>
      <c r="C121" s="112" t="s">
        <v>307</v>
      </c>
      <c r="D121" s="112">
        <v>132</v>
      </c>
      <c r="E121" s="112">
        <v>265708</v>
      </c>
      <c r="F121" s="112">
        <v>-2435.77</v>
      </c>
      <c r="G121" s="112">
        <v>0</v>
      </c>
      <c r="H121" s="27">
        <f t="shared" si="1"/>
        <v>0</v>
      </c>
      <c r="I121" s="27" cm="1">
        <f t="array" ref="I121">IF(OR(B121={"R","U"}),E121,0)</f>
        <v>0</v>
      </c>
      <c r="J121" s="27" t="str">
        <f>IF(B121="U","Unbilled",INDEX(Code!B:B,MATCH(LEFT(C121,10),Code!A:A,0)))</f>
        <v>Schedule 16,17,19</v>
      </c>
    </row>
    <row r="122" spans="1:10">
      <c r="A122" s="112" t="s">
        <v>4</v>
      </c>
      <c r="B122" s="112" t="s">
        <v>288</v>
      </c>
      <c r="C122" s="112" t="s">
        <v>308</v>
      </c>
      <c r="D122" s="112">
        <v>48</v>
      </c>
      <c r="E122" s="112">
        <v>70126</v>
      </c>
      <c r="F122" s="112">
        <v>-706.1</v>
      </c>
      <c r="G122" s="112">
        <v>0</v>
      </c>
      <c r="H122" s="27">
        <f t="shared" si="1"/>
        <v>0</v>
      </c>
      <c r="I122" s="27" cm="1">
        <f t="array" ref="I122">IF(OR(B122={"R","U"}),E122,0)</f>
        <v>0</v>
      </c>
      <c r="J122" s="27" t="str">
        <f>IF(B122="U","Unbilled",INDEX(Code!B:B,MATCH(LEFT(C122,10),Code!A:A,0)))</f>
        <v>Schedule 16,17,19</v>
      </c>
    </row>
    <row r="123" spans="1:10">
      <c r="A123" s="112" t="s">
        <v>4</v>
      </c>
      <c r="B123" s="112" t="s">
        <v>288</v>
      </c>
      <c r="C123" s="112" t="s">
        <v>309</v>
      </c>
      <c r="D123" s="112">
        <v>41393</v>
      </c>
      <c r="E123" s="112">
        <v>21009516</v>
      </c>
      <c r="F123" s="112">
        <v>-196609.71</v>
      </c>
      <c r="G123" s="112">
        <v>0</v>
      </c>
      <c r="H123" s="27">
        <f t="shared" si="1"/>
        <v>0</v>
      </c>
      <c r="I123" s="27" cm="1">
        <f t="array" ref="I123">IF(OR(B123={"R","U"}),E123,0)</f>
        <v>0</v>
      </c>
      <c r="J123" s="27" t="str">
        <f>IF(B123="U","Unbilled",INDEX(Code!B:B,MATCH(LEFT(C123,10),Code!A:A,0)))</f>
        <v>Schedule 24</v>
      </c>
    </row>
    <row r="124" spans="1:10">
      <c r="A124" s="112" t="s">
        <v>4</v>
      </c>
      <c r="B124" s="112" t="s">
        <v>288</v>
      </c>
      <c r="C124" s="112" t="s">
        <v>310</v>
      </c>
      <c r="D124" s="112">
        <v>41</v>
      </c>
      <c r="E124" s="112">
        <v>1856460</v>
      </c>
      <c r="F124" s="112">
        <v>-18017.96</v>
      </c>
      <c r="G124" s="112">
        <v>0</v>
      </c>
      <c r="H124" s="27">
        <f t="shared" si="1"/>
        <v>0</v>
      </c>
      <c r="I124" s="27" cm="1">
        <f t="array" ref="I124">IF(OR(B124={"R","U"}),E124,0)</f>
        <v>0</v>
      </c>
      <c r="J124" s="27" t="str">
        <f>IF(B124="U","Unbilled",INDEX(Code!B:B,MATCH(LEFT(C124,10),Code!A:A,0)))</f>
        <v>Schedule 29,36</v>
      </c>
    </row>
    <row r="125" spans="1:10">
      <c r="A125" s="112" t="s">
        <v>4</v>
      </c>
      <c r="B125" s="112" t="s">
        <v>288</v>
      </c>
      <c r="C125" s="112" t="s">
        <v>311</v>
      </c>
      <c r="D125" s="112">
        <v>628</v>
      </c>
      <c r="E125" s="112">
        <v>269997</v>
      </c>
      <c r="F125" s="112">
        <v>-2641.22</v>
      </c>
      <c r="G125" s="112">
        <v>0</v>
      </c>
      <c r="H125" s="27">
        <f t="shared" si="1"/>
        <v>0</v>
      </c>
      <c r="I125" s="27" cm="1">
        <f t="array" ref="I125">IF(OR(B125={"R","U"}),E125,0)</f>
        <v>0</v>
      </c>
      <c r="J125" s="27" t="str">
        <f>IF(B125="U","Unbilled",INDEX(Code!B:B,MATCH(LEFT(C125,10),Code!A:A,0)))</f>
        <v>Schedule 24</v>
      </c>
    </row>
    <row r="126" spans="1:10">
      <c r="A126" s="112" t="s">
        <v>4</v>
      </c>
      <c r="B126" s="112" t="s">
        <v>288</v>
      </c>
      <c r="C126" s="112" t="s">
        <v>50</v>
      </c>
      <c r="D126" s="112">
        <v>0</v>
      </c>
      <c r="E126" s="112">
        <v>0</v>
      </c>
      <c r="F126" s="112">
        <v>481076.4</v>
      </c>
      <c r="G126" s="112">
        <v>0</v>
      </c>
      <c r="H126" s="27">
        <f t="shared" si="1"/>
        <v>0</v>
      </c>
      <c r="I126" s="27" cm="1">
        <f t="array" ref="I126">IF(OR(B126={"R","U"}),E126,0)</f>
        <v>0</v>
      </c>
      <c r="J126" s="27" t="str">
        <f>IF(B126="U","Unbilled",INDEX(Code!B:B,MATCH(LEFT(C126,10),Code!A:A,0)))</f>
        <v>BPA Bal Acct</v>
      </c>
    </row>
    <row r="127" spans="1:10">
      <c r="A127" s="112" t="s">
        <v>4</v>
      </c>
      <c r="B127" s="112" t="s">
        <v>288</v>
      </c>
      <c r="C127" s="112" t="s">
        <v>51</v>
      </c>
      <c r="D127" s="112">
        <v>0</v>
      </c>
      <c r="G127" s="112">
        <v>1353168</v>
      </c>
      <c r="H127" s="27">
        <f t="shared" si="1"/>
        <v>0</v>
      </c>
      <c r="I127" s="27" cm="1">
        <f t="array" ref="I127">IF(OR(B127={"R","U"}),E127,0)</f>
        <v>0</v>
      </c>
      <c r="J127" s="27" t="str">
        <f>IF(B127="U","Unbilled",INDEX(Code!B:B,MATCH(LEFT(C127,10),Code!A:A,0)))</f>
        <v>CustIDs</v>
      </c>
    </row>
    <row r="128" spans="1:10">
      <c r="A128" s="112" t="s">
        <v>4</v>
      </c>
      <c r="B128" s="112" t="s">
        <v>154</v>
      </c>
      <c r="C128" s="112" t="s">
        <v>114</v>
      </c>
      <c r="E128" s="112">
        <v>0</v>
      </c>
      <c r="F128" s="112">
        <v>-0.81</v>
      </c>
      <c r="H128" s="27">
        <f t="shared" si="1"/>
        <v>0</v>
      </c>
      <c r="I128" s="27" cm="1">
        <f t="array" ref="I128">IF(OR(B128={"R","U"}),E128,0)</f>
        <v>0</v>
      </c>
      <c r="J128" s="27" t="str">
        <f>IF(B128="U","Unbilled",INDEX(Code!B:B,MATCH(LEFT(C128,10),Code!A:A,0)))</f>
        <v>Blue Sky</v>
      </c>
    </row>
    <row r="129" spans="1:10">
      <c r="A129" s="112" t="s">
        <v>4</v>
      </c>
      <c r="B129" s="112" t="s">
        <v>154</v>
      </c>
      <c r="C129" s="112" t="s">
        <v>312</v>
      </c>
      <c r="D129" s="112">
        <v>5</v>
      </c>
      <c r="G129" s="112">
        <v>0</v>
      </c>
      <c r="H129" s="27">
        <f t="shared" si="1"/>
        <v>0</v>
      </c>
      <c r="I129" s="27" cm="1">
        <f t="array" ref="I129">IF(OR(B129={"R","U"}),E129,0)</f>
        <v>0</v>
      </c>
      <c r="J129" s="27" t="str">
        <f>IF(B129="U","Unbilled",INDEX(Code!B:B,MATCH(LEFT(C129,10),Code!A:A,0)))</f>
        <v>Ignore</v>
      </c>
    </row>
    <row r="130" spans="1:10">
      <c r="A130" s="112" t="s">
        <v>4</v>
      </c>
      <c r="B130" s="112" t="s">
        <v>154</v>
      </c>
      <c r="C130" s="112" t="s">
        <v>43</v>
      </c>
      <c r="E130" s="112">
        <v>0</v>
      </c>
      <c r="F130" s="112">
        <v>1155.94</v>
      </c>
      <c r="H130" s="27">
        <f t="shared" si="1"/>
        <v>0</v>
      </c>
      <c r="I130" s="27" cm="1">
        <f t="array" ref="I130">IF(OR(B130={"R","U"}),E130,0)</f>
        <v>0</v>
      </c>
      <c r="J130" s="27" t="str">
        <f>IF(B130="U","Unbilled",INDEX(Code!B:B,MATCH(LEFT(C130,10),Code!A:A,0)))</f>
        <v>Annual Guarantee Adjustments</v>
      </c>
    </row>
    <row r="131" spans="1:10">
      <c r="A131" s="112" t="s">
        <v>4</v>
      </c>
      <c r="B131" s="112" t="s">
        <v>154</v>
      </c>
      <c r="C131" s="112" t="s">
        <v>117</v>
      </c>
      <c r="D131" s="112">
        <v>20367</v>
      </c>
      <c r="E131" s="112">
        <v>16777922</v>
      </c>
      <c r="F131" s="112">
        <v>1701920.47</v>
      </c>
      <c r="G131" s="112">
        <v>0</v>
      </c>
      <c r="H131" s="27">
        <f t="shared" si="1"/>
        <v>20367</v>
      </c>
      <c r="I131" s="27" cm="1">
        <f t="array" ref="I131">IF(OR(B131={"R","U"}),E131,0)</f>
        <v>16777922</v>
      </c>
      <c r="J131" s="27" t="str">
        <f>IF(B131="U","Unbilled",INDEX(Code!B:B,MATCH(LEFT(C131,10),Code!A:A,0)))</f>
        <v>Schedule 16,17,19</v>
      </c>
    </row>
    <row r="132" spans="1:10">
      <c r="A132" s="112" t="s">
        <v>4</v>
      </c>
      <c r="B132" s="112" t="s">
        <v>154</v>
      </c>
      <c r="C132" s="112" t="s">
        <v>107</v>
      </c>
      <c r="D132" s="112">
        <v>11608</v>
      </c>
      <c r="E132" s="112">
        <v>875642</v>
      </c>
      <c r="F132" s="112">
        <v>95101.24</v>
      </c>
      <c r="G132" s="112">
        <v>0</v>
      </c>
      <c r="H132" s="27">
        <f t="shared" ref="H132:H151" si="2">IF(AND(B132&lt;&gt;"B",J132&lt;&gt;"Blue Sky",J132&lt;&gt;"Ignore"),D132,0)</f>
        <v>11608</v>
      </c>
      <c r="I132" s="27" cm="1">
        <f t="array" ref="I132">IF(OR(B132={"R","U"}),E132,0)</f>
        <v>875642</v>
      </c>
      <c r="J132" s="27" t="str">
        <f>IF(B132="U","Unbilled",INDEX(Code!B:B,MATCH(LEFT(C132,10),Code!A:A,0)))</f>
        <v>Schedule 15</v>
      </c>
    </row>
    <row r="133" spans="1:10">
      <c r="A133" s="112" t="s">
        <v>4</v>
      </c>
      <c r="B133" s="112" t="s">
        <v>154</v>
      </c>
      <c r="C133" s="112" t="s">
        <v>73</v>
      </c>
      <c r="D133" s="112">
        <v>1240103</v>
      </c>
      <c r="E133" s="112">
        <v>1526013574</v>
      </c>
      <c r="F133" s="112">
        <v>146761614.22</v>
      </c>
      <c r="G133" s="112">
        <v>0</v>
      </c>
      <c r="H133" s="27">
        <f t="shared" si="2"/>
        <v>1240103</v>
      </c>
      <c r="I133" s="27" cm="1">
        <f t="array" ref="I133">IF(OR(B133={"R","U"}),E133,0)</f>
        <v>1526013574</v>
      </c>
      <c r="J133" s="27" t="str">
        <f>IF(B133="U","Unbilled",INDEX(Code!B:B,MATCH(LEFT(C133,10),Code!A:A,0)))</f>
        <v>Schedule 16,17,19</v>
      </c>
    </row>
    <row r="134" spans="1:10">
      <c r="A134" s="112" t="s">
        <v>4</v>
      </c>
      <c r="B134" s="112" t="s">
        <v>154</v>
      </c>
      <c r="C134" s="112" t="s">
        <v>74</v>
      </c>
      <c r="D134" s="112">
        <v>69949</v>
      </c>
      <c r="E134" s="112">
        <v>91914213</v>
      </c>
      <c r="F134" s="112">
        <v>8865181.0600000005</v>
      </c>
      <c r="G134" s="112">
        <v>0</v>
      </c>
      <c r="H134" s="27">
        <f t="shared" si="2"/>
        <v>69949</v>
      </c>
      <c r="I134" s="27" cm="1">
        <f t="array" ref="I134">IF(OR(B134={"R","U"}),E134,0)</f>
        <v>91914213</v>
      </c>
      <c r="J134" s="27" t="str">
        <f>IF(B134="U","Unbilled",INDEX(Code!B:B,MATCH(LEFT(C134,10),Code!A:A,0)))</f>
        <v>Schedule 16,17,19</v>
      </c>
    </row>
    <row r="135" spans="1:10">
      <c r="A135" s="112" t="s">
        <v>4</v>
      </c>
      <c r="B135" s="112" t="s">
        <v>154</v>
      </c>
      <c r="C135" s="112" t="s">
        <v>76</v>
      </c>
      <c r="D135" s="112">
        <v>896</v>
      </c>
      <c r="E135" s="112">
        <v>2005705</v>
      </c>
      <c r="F135" s="112">
        <v>210341.85</v>
      </c>
      <c r="G135" s="112">
        <v>0</v>
      </c>
      <c r="H135" s="27">
        <f t="shared" si="2"/>
        <v>896</v>
      </c>
      <c r="I135" s="27" cm="1">
        <f t="array" ref="I135">IF(OR(B135={"R","U"}),E135,0)</f>
        <v>2005705</v>
      </c>
      <c r="J135" s="27" t="str">
        <f>IF(B135="U","Unbilled",INDEX(Code!B:B,MATCH(LEFT(C135,10),Code!A:A,0)))</f>
        <v>Schedule 16,17,19</v>
      </c>
    </row>
    <row r="136" spans="1:10">
      <c r="A136" s="112" t="s">
        <v>4</v>
      </c>
      <c r="B136" s="112" t="s">
        <v>154</v>
      </c>
      <c r="C136" s="112" t="s">
        <v>77</v>
      </c>
      <c r="D136" s="112">
        <v>132</v>
      </c>
      <c r="E136" s="112">
        <v>265708</v>
      </c>
      <c r="F136" s="112">
        <v>27196.58</v>
      </c>
      <c r="G136" s="112">
        <v>0</v>
      </c>
      <c r="H136" s="27">
        <f t="shared" si="2"/>
        <v>132</v>
      </c>
      <c r="I136" s="27" cm="1">
        <f t="array" ref="I136">IF(OR(B136={"R","U"}),E136,0)</f>
        <v>265708</v>
      </c>
      <c r="J136" s="27" t="str">
        <f>IF(B136="U","Unbilled",INDEX(Code!B:B,MATCH(LEFT(C136,10),Code!A:A,0)))</f>
        <v>Schedule 16,17,19</v>
      </c>
    </row>
    <row r="137" spans="1:10">
      <c r="A137" s="112" t="s">
        <v>4</v>
      </c>
      <c r="B137" s="112" t="s">
        <v>154</v>
      </c>
      <c r="C137" s="112" t="s">
        <v>313</v>
      </c>
      <c r="D137" s="112">
        <v>62</v>
      </c>
      <c r="E137" s="112">
        <v>70126</v>
      </c>
      <c r="F137" s="112">
        <v>6316.42</v>
      </c>
      <c r="G137" s="112">
        <v>0</v>
      </c>
      <c r="H137" s="27">
        <f t="shared" si="2"/>
        <v>62</v>
      </c>
      <c r="I137" s="27" cm="1">
        <f t="array" ref="I137">IF(OR(B137={"R","U"}),E137,0)</f>
        <v>70126</v>
      </c>
      <c r="J137" s="27" t="str">
        <f>IF(B137="U","Unbilled",INDEX(Code!B:B,MATCH(LEFT(C137,10),Code!A:A,0)))</f>
        <v>Schedule 16,17,19</v>
      </c>
    </row>
    <row r="138" spans="1:10">
      <c r="A138" s="112" t="s">
        <v>4</v>
      </c>
      <c r="B138" s="112" t="s">
        <v>154</v>
      </c>
      <c r="C138" s="112" t="s">
        <v>314</v>
      </c>
      <c r="D138" s="112">
        <v>41393</v>
      </c>
      <c r="E138" s="112">
        <v>21313438</v>
      </c>
      <c r="F138" s="112">
        <v>2575720.86</v>
      </c>
      <c r="G138" s="112">
        <v>0</v>
      </c>
      <c r="H138" s="27">
        <f t="shared" si="2"/>
        <v>41393</v>
      </c>
      <c r="I138" s="27" cm="1">
        <f t="array" ref="I138">IF(OR(B138={"R","U"}),E138,0)</f>
        <v>21313438</v>
      </c>
      <c r="J138" s="27" t="str">
        <f>IF(B138="U","Unbilled",INDEX(Code!B:B,MATCH(LEFT(C138,10),Code!A:A,0)))</f>
        <v>Schedule 24</v>
      </c>
    </row>
    <row r="139" spans="1:10">
      <c r="A139" s="112" t="s">
        <v>4</v>
      </c>
      <c r="B139" s="112" t="s">
        <v>154</v>
      </c>
      <c r="C139" s="112" t="s">
        <v>315</v>
      </c>
      <c r="D139" s="112">
        <v>53</v>
      </c>
      <c r="E139" s="112">
        <v>2291100</v>
      </c>
      <c r="F139" s="112">
        <v>183887.08</v>
      </c>
      <c r="G139" s="112">
        <v>0</v>
      </c>
      <c r="H139" s="27">
        <f t="shared" si="2"/>
        <v>53</v>
      </c>
      <c r="I139" s="27" cm="1">
        <f t="array" ref="I139">IF(OR(B139={"R","U"}),E139,0)</f>
        <v>2291100</v>
      </c>
      <c r="J139" s="27" t="str">
        <f>IF(B139="U","Unbilled",INDEX(Code!B:B,MATCH(LEFT(C139,10),Code!A:A,0)))</f>
        <v>Schedule 29,36</v>
      </c>
    </row>
    <row r="140" spans="1:10">
      <c r="A140" s="112" t="s">
        <v>4</v>
      </c>
      <c r="B140" s="112" t="s">
        <v>154</v>
      </c>
      <c r="C140" s="112" t="s">
        <v>316</v>
      </c>
      <c r="D140" s="112">
        <v>628</v>
      </c>
      <c r="E140" s="112">
        <v>269997</v>
      </c>
      <c r="F140" s="112">
        <v>33340.199999999997</v>
      </c>
      <c r="G140" s="112">
        <v>0</v>
      </c>
      <c r="H140" s="27">
        <f t="shared" si="2"/>
        <v>628</v>
      </c>
      <c r="I140" s="27" cm="1">
        <f t="array" ref="I140">IF(OR(B140={"R","U"}),E140,0)</f>
        <v>269997</v>
      </c>
      <c r="J140" s="27" t="str">
        <f>IF(B140="U","Unbilled",INDEX(Code!B:B,MATCH(LEFT(C140,10),Code!A:A,0)))</f>
        <v>Schedule 24</v>
      </c>
    </row>
    <row r="141" spans="1:10">
      <c r="A141" s="112" t="s">
        <v>4</v>
      </c>
      <c r="B141" s="112" t="s">
        <v>154</v>
      </c>
      <c r="C141" s="112" t="s">
        <v>317</v>
      </c>
      <c r="D141" s="112">
        <v>0</v>
      </c>
      <c r="E141" s="112">
        <v>0</v>
      </c>
      <c r="F141" s="112">
        <v>-239412.93</v>
      </c>
      <c r="G141" s="112">
        <v>0</v>
      </c>
      <c r="H141" s="27">
        <f t="shared" si="2"/>
        <v>0</v>
      </c>
      <c r="I141" s="27" cm="1">
        <f t="array" ref="I141">IF(OR(B141={"R","U"}),E141,0)</f>
        <v>0</v>
      </c>
      <c r="J141" s="27" t="str">
        <f>IF(B141="U","Unbilled",INDEX(Code!B:B,MATCH(LEFT(C141,10),Code!A:A,0)))</f>
        <v>Customer Bill Credits</v>
      </c>
    </row>
    <row r="142" spans="1:10">
      <c r="A142" s="112" t="s">
        <v>4</v>
      </c>
      <c r="B142" s="112" t="s">
        <v>154</v>
      </c>
      <c r="C142" s="112" t="s">
        <v>147</v>
      </c>
      <c r="D142" s="112">
        <v>0</v>
      </c>
      <c r="E142" s="112">
        <v>0</v>
      </c>
      <c r="F142" s="112">
        <v>5647775.6699999999</v>
      </c>
      <c r="G142" s="112">
        <v>0</v>
      </c>
      <c r="H142" s="27">
        <f t="shared" si="2"/>
        <v>0</v>
      </c>
      <c r="I142" s="27" cm="1">
        <f t="array" ref="I142">IF(OR(B142={"R","U"}),E142,0)</f>
        <v>0</v>
      </c>
      <c r="J142" s="27" t="str">
        <f>IF(B142="U","Unbilled",INDEX(Code!B:B,MATCH(LEFT(C142,10),Code!A:A,0)))</f>
        <v>DSM</v>
      </c>
    </row>
    <row r="143" spans="1:10">
      <c r="A143" s="112" t="s">
        <v>4</v>
      </c>
      <c r="B143" s="112" t="s">
        <v>154</v>
      </c>
      <c r="C143" s="112" t="s">
        <v>148</v>
      </c>
      <c r="D143" s="112">
        <v>0</v>
      </c>
      <c r="E143" s="112">
        <v>0</v>
      </c>
      <c r="F143" s="112">
        <v>357146.52</v>
      </c>
      <c r="G143" s="112">
        <v>0</v>
      </c>
      <c r="H143" s="27">
        <f t="shared" si="2"/>
        <v>0</v>
      </c>
      <c r="I143" s="27" cm="1">
        <f t="array" ref="I143">IF(OR(B143={"R","U"}),E143,0)</f>
        <v>0</v>
      </c>
      <c r="J143" s="27" t="str">
        <f>IF(B143="U","Unbilled",INDEX(Code!B:B,MATCH(LEFT(C143,10),Code!A:A,0)))</f>
        <v>Blue Sky</v>
      </c>
    </row>
    <row r="144" spans="1:10">
      <c r="A144" s="112" t="s">
        <v>4</v>
      </c>
      <c r="B144" s="112" t="s">
        <v>154</v>
      </c>
      <c r="C144" s="112" t="s">
        <v>180</v>
      </c>
      <c r="D144" s="112">
        <v>0</v>
      </c>
      <c r="E144" s="112">
        <v>0</v>
      </c>
      <c r="F144" s="112">
        <v>50185.9</v>
      </c>
      <c r="G144" s="112">
        <v>0</v>
      </c>
      <c r="H144" s="27">
        <f t="shared" si="2"/>
        <v>0</v>
      </c>
      <c r="I144" s="27" cm="1">
        <f t="array" ref="I144">IF(OR(B144={"R","U"}),E144,0)</f>
        <v>0</v>
      </c>
      <c r="J144" s="27" t="str">
        <f>IF(B144="U","Unbilled",INDEX(Code!B:B,MATCH(LEFT(C144,10),Code!A:A,0)))</f>
        <v>Rev Adj Property Insur</v>
      </c>
    </row>
    <row r="145" spans="1:10">
      <c r="A145" s="112" t="s">
        <v>4</v>
      </c>
      <c r="B145" s="112" t="s">
        <v>154</v>
      </c>
      <c r="C145" s="112" t="s">
        <v>297</v>
      </c>
      <c r="D145" s="112">
        <v>0</v>
      </c>
      <c r="E145" s="112">
        <v>0</v>
      </c>
      <c r="F145" s="112">
        <v>4868922.92</v>
      </c>
      <c r="G145" s="112">
        <v>0</v>
      </c>
      <c r="H145" s="27">
        <f t="shared" si="2"/>
        <v>0</v>
      </c>
      <c r="I145" s="27" cm="1">
        <f t="array" ref="I145">IF(OR(B145={"R","U"}),E145,0)</f>
        <v>0</v>
      </c>
      <c r="J145" s="27" t="str">
        <f>IF(B145="U","Unbilled",INDEX(Code!B:B,MATCH(LEFT(C145,10),Code!A:A,0)))</f>
        <v>Alt Rev Program</v>
      </c>
    </row>
    <row r="146" spans="1:10">
      <c r="A146" s="112" t="s">
        <v>4</v>
      </c>
      <c r="B146" s="112" t="s">
        <v>154</v>
      </c>
      <c r="C146" s="112" t="s">
        <v>52</v>
      </c>
      <c r="D146" s="112">
        <v>0</v>
      </c>
      <c r="G146" s="112">
        <v>1353553</v>
      </c>
      <c r="H146" s="27">
        <f t="shared" si="2"/>
        <v>0</v>
      </c>
      <c r="I146" s="27" cm="1">
        <f t="array" ref="I146">IF(OR(B146={"R","U"}),E146,0)</f>
        <v>0</v>
      </c>
      <c r="J146" s="27" t="str">
        <f>IF(B146="U","Unbilled",INDEX(Code!B:B,MATCH(LEFT(C146,10),Code!A:A,0)))</f>
        <v>CustIDs</v>
      </c>
    </row>
    <row r="147" spans="1:10">
      <c r="A147" s="112" t="s">
        <v>4</v>
      </c>
      <c r="B147" s="112" t="s">
        <v>154</v>
      </c>
      <c r="C147" s="112" t="s">
        <v>184</v>
      </c>
      <c r="D147" s="112">
        <v>0</v>
      </c>
      <c r="E147" s="112">
        <v>0</v>
      </c>
      <c r="F147" s="112">
        <v>854934.48</v>
      </c>
      <c r="G147" s="112">
        <v>0</v>
      </c>
      <c r="H147" s="27">
        <f t="shared" si="2"/>
        <v>0</v>
      </c>
      <c r="I147" s="27" cm="1">
        <f t="array" ref="I147">IF(OR(B147={"R","U"}),E147,0)</f>
        <v>0</v>
      </c>
      <c r="J147" s="27" t="str">
        <f>IF(B147="U","Unbilled",INDEX(Code!B:B,MATCH(LEFT(C147,10),Code!A:A,0)))</f>
        <v>Income Tax Defer Adj</v>
      </c>
    </row>
    <row r="148" spans="1:10">
      <c r="A148" s="112" t="s">
        <v>4</v>
      </c>
      <c r="B148" s="112" t="s">
        <v>154</v>
      </c>
      <c r="C148" s="112" t="s">
        <v>124</v>
      </c>
      <c r="D148" s="112">
        <v>0</v>
      </c>
      <c r="E148" s="112">
        <v>0</v>
      </c>
      <c r="F148" s="112">
        <v>-2337560.9500000002</v>
      </c>
      <c r="G148" s="112">
        <v>0</v>
      </c>
      <c r="H148" s="27">
        <f t="shared" si="2"/>
        <v>0</v>
      </c>
      <c r="I148" s="27" cm="1">
        <f t="array" ref="I148">IF(OR(B148={"R","U"}),E148,0)</f>
        <v>0</v>
      </c>
      <c r="J148" s="27" t="str">
        <f>IF(B148="U","Unbilled",INDEX(Code!B:B,MATCH(LEFT(C148,10),Code!A:A,0)))</f>
        <v>Rev Adj</v>
      </c>
    </row>
    <row r="149" spans="1:10">
      <c r="A149" s="112" t="s">
        <v>4</v>
      </c>
      <c r="B149" s="112" t="s">
        <v>154</v>
      </c>
      <c r="C149" s="112" t="s">
        <v>131</v>
      </c>
      <c r="D149" s="112">
        <v>0</v>
      </c>
      <c r="E149" s="112">
        <v>0</v>
      </c>
      <c r="F149" s="112">
        <v>39427</v>
      </c>
      <c r="G149" s="112">
        <v>0</v>
      </c>
      <c r="H149" s="27">
        <f t="shared" si="2"/>
        <v>0</v>
      </c>
      <c r="I149" s="27" cm="1">
        <f t="array" ref="I149">IF(OR(B149={"R","U"}),E149,0)</f>
        <v>0</v>
      </c>
      <c r="J149" s="27" t="str">
        <f>IF(B149="U","Unbilled",INDEX(Code!B:B,MATCH(LEFT(C149,10),Code!A:A,0)))</f>
        <v>Rev Adj</v>
      </c>
    </row>
    <row r="150" spans="1:10">
      <c r="A150" s="112" t="s">
        <v>4</v>
      </c>
      <c r="B150" s="112" t="s">
        <v>155</v>
      </c>
      <c r="C150" s="112" t="s">
        <v>94</v>
      </c>
      <c r="D150" s="112">
        <v>0</v>
      </c>
      <c r="E150" s="112">
        <v>0</v>
      </c>
      <c r="F150" s="112">
        <v>66000</v>
      </c>
      <c r="G150" s="112">
        <v>0</v>
      </c>
      <c r="H150" s="27">
        <f t="shared" si="2"/>
        <v>0</v>
      </c>
      <c r="I150" s="27" cm="1">
        <f t="array" ref="I150">IF(OR(B150={"R","U"}),E150,0)</f>
        <v>0</v>
      </c>
      <c r="J150" s="27" t="str">
        <f>IF(B150="U","Unbilled",INDEX(Code!B:B,MATCH(LEFT(C150,10),Code!A:A,0)))</f>
        <v>Unbilled</v>
      </c>
    </row>
    <row r="151" spans="1:10">
      <c r="A151" s="112" t="s">
        <v>4</v>
      </c>
      <c r="B151" s="112" t="s">
        <v>155</v>
      </c>
      <c r="C151" s="112" t="s">
        <v>53</v>
      </c>
      <c r="D151" s="112">
        <v>0</v>
      </c>
      <c r="E151" s="112">
        <v>14061000</v>
      </c>
      <c r="F151" s="112">
        <v>5698000</v>
      </c>
      <c r="G151" s="112">
        <v>0</v>
      </c>
      <c r="H151" s="27">
        <f t="shared" si="2"/>
        <v>0</v>
      </c>
      <c r="I151" s="27" cm="1">
        <f t="array" ref="I151">IF(OR(B151={"R","U"}),E151,0)</f>
        <v>14061000</v>
      </c>
      <c r="J151" s="27" t="str">
        <f>IF(B151="U","Unbilled",INDEX(Code!B:B,MATCH(LEFT(C151,10),Code!A:A,0)))</f>
        <v>Unbilled</v>
      </c>
    </row>
  </sheetData>
  <autoFilter ref="A2:J151" xr:uid="{A7C9C501-BE83-455E-BF52-996D377EA438}"/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BA3F-3D71-4ABF-B53F-3A4430BD3E82}">
  <sheetPr>
    <pageSetUpPr autoPageBreaks="0" fitToPage="1"/>
  </sheetPr>
  <dimension ref="A1:C79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ColWidth="8" defaultRowHeight="15.75"/>
  <cols>
    <col min="1" max="1" width="15.375" style="113" bestFit="1" customWidth="1"/>
    <col min="2" max="2" width="28.75" style="111" bestFit="1" customWidth="1"/>
    <col min="3" max="3" width="19.875" style="109" customWidth="1"/>
    <col min="4" max="85" width="19.875" style="110" customWidth="1"/>
    <col min="86" max="16384" width="8" style="110"/>
  </cols>
  <sheetData>
    <row r="1" spans="1:3" s="108" customFormat="1">
      <c r="A1" s="78" t="s">
        <v>156</v>
      </c>
      <c r="B1" s="79" t="s">
        <v>210</v>
      </c>
      <c r="C1" s="107"/>
    </row>
    <row r="2" spans="1:3">
      <c r="A2" s="80" t="s">
        <v>226</v>
      </c>
      <c r="B2" s="80" t="s">
        <v>352</v>
      </c>
    </row>
    <row r="3" spans="1:3">
      <c r="A3" s="80" t="s">
        <v>234</v>
      </c>
      <c r="B3" s="80" t="s">
        <v>352</v>
      </c>
    </row>
    <row r="4" spans="1:3">
      <c r="A4" s="80" t="s">
        <v>235</v>
      </c>
      <c r="B4" s="80" t="s">
        <v>352</v>
      </c>
    </row>
    <row r="5" spans="1:3">
      <c r="A5" s="80" t="s">
        <v>236</v>
      </c>
      <c r="B5" s="80" t="s">
        <v>352</v>
      </c>
    </row>
    <row r="6" spans="1:3">
      <c r="A6" s="80" t="s">
        <v>237</v>
      </c>
      <c r="B6" s="80" t="s">
        <v>352</v>
      </c>
    </row>
    <row r="7" spans="1:3">
      <c r="A7" s="80" t="s">
        <v>238</v>
      </c>
      <c r="B7" s="80" t="s">
        <v>352</v>
      </c>
    </row>
    <row r="8" spans="1:3">
      <c r="A8" s="80" t="s">
        <v>239</v>
      </c>
      <c r="B8" s="80" t="s">
        <v>352</v>
      </c>
    </row>
    <row r="9" spans="1:3">
      <c r="A9" s="80" t="s">
        <v>240</v>
      </c>
      <c r="B9" s="80" t="s">
        <v>352</v>
      </c>
    </row>
    <row r="10" spans="1:3">
      <c r="A10" s="80" t="s">
        <v>241</v>
      </c>
      <c r="B10" s="80" t="s">
        <v>352</v>
      </c>
    </row>
    <row r="11" spans="1:3">
      <c r="A11" s="80" t="s">
        <v>242</v>
      </c>
      <c r="B11" s="80" t="s">
        <v>352</v>
      </c>
    </row>
    <row r="12" spans="1:3">
      <c r="A12" s="80" t="s">
        <v>243</v>
      </c>
      <c r="B12" s="80" t="s">
        <v>352</v>
      </c>
    </row>
    <row r="13" spans="1:3">
      <c r="A13" s="80" t="s">
        <v>269</v>
      </c>
      <c r="B13" s="80" t="s">
        <v>270</v>
      </c>
    </row>
    <row r="14" spans="1:3">
      <c r="A14" s="80" t="s">
        <v>223</v>
      </c>
      <c r="B14" s="80" t="s">
        <v>145</v>
      </c>
    </row>
    <row r="15" spans="1:3">
      <c r="A15" s="80" t="s">
        <v>159</v>
      </c>
      <c r="B15" s="80" t="s">
        <v>145</v>
      </c>
    </row>
    <row r="16" spans="1:3">
      <c r="A16" s="80" t="s">
        <v>160</v>
      </c>
      <c r="B16" s="80" t="s">
        <v>145</v>
      </c>
    </row>
    <row r="17" spans="1:2">
      <c r="A17" s="80" t="s">
        <v>161</v>
      </c>
      <c r="B17" s="80" t="s">
        <v>145</v>
      </c>
    </row>
    <row r="18" spans="1:2">
      <c r="A18" s="80" t="s">
        <v>163</v>
      </c>
      <c r="B18" s="80" t="s">
        <v>145</v>
      </c>
    </row>
    <row r="19" spans="1:2">
      <c r="A19" s="80" t="s">
        <v>224</v>
      </c>
      <c r="B19" s="80" t="s">
        <v>225</v>
      </c>
    </row>
    <row r="20" spans="1:2">
      <c r="A20" s="80" t="s">
        <v>271</v>
      </c>
      <c r="B20" s="80" t="s">
        <v>272</v>
      </c>
    </row>
    <row r="21" spans="1:2">
      <c r="A21" s="80" t="s">
        <v>274</v>
      </c>
      <c r="B21" s="80" t="s">
        <v>272</v>
      </c>
    </row>
    <row r="22" spans="1:2">
      <c r="A22" s="80" t="s">
        <v>260</v>
      </c>
      <c r="B22" s="80" t="s">
        <v>261</v>
      </c>
    </row>
    <row r="23" spans="1:2">
      <c r="A23" s="80" t="s">
        <v>262</v>
      </c>
      <c r="B23" s="80" t="s">
        <v>261</v>
      </c>
    </row>
    <row r="24" spans="1:2">
      <c r="A24" s="80" t="s">
        <v>264</v>
      </c>
      <c r="B24" s="80" t="s">
        <v>261</v>
      </c>
    </row>
    <row r="25" spans="1:2">
      <c r="A25" s="80" t="s">
        <v>266</v>
      </c>
      <c r="B25" s="80" t="s">
        <v>261</v>
      </c>
    </row>
    <row r="26" spans="1:2">
      <c r="A26" s="80" t="s">
        <v>268</v>
      </c>
      <c r="B26" s="80" t="s">
        <v>261</v>
      </c>
    </row>
    <row r="27" spans="1:2">
      <c r="A27" s="80" t="s">
        <v>158</v>
      </c>
      <c r="B27" s="80" t="s">
        <v>149</v>
      </c>
    </row>
    <row r="28" spans="1:2">
      <c r="A28" s="80" t="s">
        <v>263</v>
      </c>
      <c r="B28" s="80" t="s">
        <v>149</v>
      </c>
    </row>
    <row r="29" spans="1:2">
      <c r="A29" s="80" t="s">
        <v>265</v>
      </c>
      <c r="B29" s="80" t="s">
        <v>149</v>
      </c>
    </row>
    <row r="30" spans="1:2">
      <c r="A30" s="80" t="s">
        <v>162</v>
      </c>
      <c r="B30" s="80" t="s">
        <v>149</v>
      </c>
    </row>
    <row r="31" spans="1:2">
      <c r="A31" s="80" t="s">
        <v>164</v>
      </c>
      <c r="B31" s="80" t="s">
        <v>149</v>
      </c>
    </row>
    <row r="32" spans="1:2">
      <c r="A32" s="80" t="s">
        <v>189</v>
      </c>
      <c r="B32" s="80" t="s">
        <v>273</v>
      </c>
    </row>
    <row r="33" spans="1:2">
      <c r="A33" s="80" t="s">
        <v>213</v>
      </c>
      <c r="B33" s="111" t="s">
        <v>222</v>
      </c>
    </row>
    <row r="34" spans="1:2">
      <c r="A34" s="80" t="s">
        <v>186</v>
      </c>
      <c r="B34" s="112" t="s">
        <v>190</v>
      </c>
    </row>
    <row r="35" spans="1:2">
      <c r="A35" s="80" t="s">
        <v>187</v>
      </c>
      <c r="B35" s="112" t="s">
        <v>190</v>
      </c>
    </row>
    <row r="36" spans="1:2">
      <c r="A36" s="80" t="s">
        <v>188</v>
      </c>
      <c r="B36" s="112" t="s">
        <v>190</v>
      </c>
    </row>
    <row r="37" spans="1:2">
      <c r="A37" s="80" t="s">
        <v>185</v>
      </c>
      <c r="B37" s="112" t="s">
        <v>190</v>
      </c>
    </row>
    <row r="38" spans="1:2">
      <c r="A38" s="80" t="s">
        <v>267</v>
      </c>
      <c r="B38" s="80" t="s">
        <v>322</v>
      </c>
    </row>
    <row r="39" spans="1:2">
      <c r="A39" s="80" t="s">
        <v>165</v>
      </c>
      <c r="B39" s="80" t="s">
        <v>173</v>
      </c>
    </row>
    <row r="40" spans="1:2">
      <c r="A40" s="80" t="s">
        <v>166</v>
      </c>
      <c r="B40" s="80" t="s">
        <v>173</v>
      </c>
    </row>
    <row r="41" spans="1:2">
      <c r="A41" s="80" t="s">
        <v>18</v>
      </c>
      <c r="B41" s="80" t="s">
        <v>169</v>
      </c>
    </row>
    <row r="42" spans="1:2">
      <c r="A42" s="80" t="s">
        <v>250</v>
      </c>
      <c r="B42" s="80" t="s">
        <v>169</v>
      </c>
    </row>
    <row r="43" spans="1:2">
      <c r="A43" s="80" t="s">
        <v>251</v>
      </c>
      <c r="B43" s="80" t="s">
        <v>169</v>
      </c>
    </row>
    <row r="44" spans="1:2">
      <c r="A44" s="80" t="s">
        <v>118</v>
      </c>
      <c r="B44" s="80" t="s">
        <v>422</v>
      </c>
    </row>
    <row r="45" spans="1:2">
      <c r="A45" s="80" t="s">
        <v>253</v>
      </c>
      <c r="B45" s="80" t="s">
        <v>422</v>
      </c>
    </row>
    <row r="46" spans="1:2">
      <c r="A46" s="80" t="s">
        <v>254</v>
      </c>
      <c r="B46" s="80" t="s">
        <v>422</v>
      </c>
    </row>
    <row r="47" spans="1:2">
      <c r="A47" s="80" t="s">
        <v>255</v>
      </c>
      <c r="B47" s="80" t="s">
        <v>422</v>
      </c>
    </row>
    <row r="48" spans="1:2">
      <c r="A48" s="80" t="s">
        <v>256</v>
      </c>
      <c r="B48" s="80" t="s">
        <v>422</v>
      </c>
    </row>
    <row r="49" spans="1:2">
      <c r="A49" s="80" t="s">
        <v>275</v>
      </c>
      <c r="B49" s="80" t="s">
        <v>422</v>
      </c>
    </row>
    <row r="50" spans="1:2">
      <c r="A50" s="80" t="s">
        <v>228</v>
      </c>
      <c r="B50" s="80" t="s">
        <v>229</v>
      </c>
    </row>
    <row r="51" spans="1:2">
      <c r="A51" s="80" t="s">
        <v>230</v>
      </c>
      <c r="B51" s="80" t="s">
        <v>229</v>
      </c>
    </row>
    <row r="52" spans="1:2">
      <c r="A52" s="80" t="s">
        <v>231</v>
      </c>
      <c r="B52" s="80" t="s">
        <v>229</v>
      </c>
    </row>
    <row r="53" spans="1:2">
      <c r="A53" s="80" t="s">
        <v>232</v>
      </c>
      <c r="B53" s="80" t="s">
        <v>229</v>
      </c>
    </row>
    <row r="54" spans="1:2">
      <c r="A54" s="80" t="s">
        <v>14</v>
      </c>
      <c r="B54" s="80" t="s">
        <v>229</v>
      </c>
    </row>
    <row r="55" spans="1:2">
      <c r="A55" s="80" t="s">
        <v>15</v>
      </c>
      <c r="B55" s="80" t="s">
        <v>229</v>
      </c>
    </row>
    <row r="56" spans="1:2">
      <c r="A56" s="80" t="s">
        <v>244</v>
      </c>
      <c r="B56" s="80" t="s">
        <v>229</v>
      </c>
    </row>
    <row r="57" spans="1:2">
      <c r="A57" s="80" t="s">
        <v>245</v>
      </c>
      <c r="B57" s="80" t="s">
        <v>229</v>
      </c>
    </row>
    <row r="58" spans="1:2">
      <c r="A58" s="80" t="s">
        <v>150</v>
      </c>
      <c r="B58" s="80" t="s">
        <v>229</v>
      </c>
    </row>
    <row r="59" spans="1:2">
      <c r="A59" s="80" t="s">
        <v>258</v>
      </c>
      <c r="B59" s="80" t="s">
        <v>229</v>
      </c>
    </row>
    <row r="60" spans="1:2">
      <c r="A60" s="80" t="s">
        <v>258</v>
      </c>
      <c r="B60" s="80" t="s">
        <v>229</v>
      </c>
    </row>
    <row r="61" spans="1:2">
      <c r="A61" s="80" t="s">
        <v>318</v>
      </c>
      <c r="B61" s="80" t="s">
        <v>279</v>
      </c>
    </row>
    <row r="62" spans="1:2">
      <c r="A62" s="80" t="s">
        <v>233</v>
      </c>
      <c r="B62" s="80" t="s">
        <v>279</v>
      </c>
    </row>
    <row r="63" spans="1:2">
      <c r="A63" s="80" t="s">
        <v>16</v>
      </c>
      <c r="B63" s="80" t="s">
        <v>279</v>
      </c>
    </row>
    <row r="64" spans="1:2">
      <c r="A64" s="80" t="s">
        <v>246</v>
      </c>
      <c r="B64" s="80" t="s">
        <v>279</v>
      </c>
    </row>
    <row r="65" spans="1:2">
      <c r="A65" s="80" t="s">
        <v>257</v>
      </c>
      <c r="B65" s="80" t="s">
        <v>279</v>
      </c>
    </row>
    <row r="66" spans="1:2">
      <c r="A66" s="80" t="s">
        <v>257</v>
      </c>
      <c r="B66" s="80" t="s">
        <v>279</v>
      </c>
    </row>
    <row r="67" spans="1:2">
      <c r="A67" s="80" t="s">
        <v>21</v>
      </c>
      <c r="B67" s="80" t="s">
        <v>152</v>
      </c>
    </row>
    <row r="68" spans="1:2">
      <c r="A68" s="80" t="s">
        <v>22</v>
      </c>
      <c r="B68" s="80" t="s">
        <v>152</v>
      </c>
    </row>
    <row r="69" spans="1:2">
      <c r="A69" s="80" t="s">
        <v>247</v>
      </c>
      <c r="B69" s="80" t="s">
        <v>152</v>
      </c>
    </row>
    <row r="70" spans="1:2">
      <c r="A70" s="80" t="s">
        <v>249</v>
      </c>
      <c r="B70" s="80" t="s">
        <v>152</v>
      </c>
    </row>
    <row r="71" spans="1:2">
      <c r="A71" s="80" t="s">
        <v>89</v>
      </c>
      <c r="B71" s="80" t="s">
        <v>252</v>
      </c>
    </row>
    <row r="72" spans="1:2">
      <c r="A72" s="80" t="s">
        <v>23</v>
      </c>
      <c r="B72" s="80" t="s">
        <v>287</v>
      </c>
    </row>
    <row r="73" spans="1:2">
      <c r="A73" s="80" t="s">
        <v>17</v>
      </c>
      <c r="B73" s="80" t="s">
        <v>172</v>
      </c>
    </row>
    <row r="74" spans="1:2">
      <c r="A74" s="80" t="s">
        <v>248</v>
      </c>
      <c r="B74" s="80" t="s">
        <v>172</v>
      </c>
    </row>
    <row r="75" spans="1:2">
      <c r="A75" s="80" t="s">
        <v>259</v>
      </c>
      <c r="B75" s="80" t="s">
        <v>170</v>
      </c>
    </row>
    <row r="76" spans="1:2">
      <c r="A76" s="80" t="s">
        <v>25</v>
      </c>
      <c r="B76" s="80" t="s">
        <v>227</v>
      </c>
    </row>
    <row r="77" spans="1:2">
      <c r="A77" s="80" t="s">
        <v>26</v>
      </c>
      <c r="B77" s="80" t="s">
        <v>227</v>
      </c>
    </row>
    <row r="78" spans="1:2">
      <c r="A78" s="80" t="s">
        <v>19</v>
      </c>
      <c r="B78" s="80" t="s">
        <v>171</v>
      </c>
    </row>
    <row r="79" spans="1:2">
      <c r="A79" s="80" t="s">
        <v>319</v>
      </c>
      <c r="B79" s="80" t="s">
        <v>320</v>
      </c>
    </row>
  </sheetData>
  <autoFilter ref="A1:B79" xr:uid="{DE67BA3F-3D71-4ABF-B53F-3A4430BD3E82}"/>
  <printOptions horizontalCentered="1"/>
  <pageMargins left="0.22" right="0.5" top="0.5" bottom="0.55000000000000004" header="0.5" footer="0.38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10"/>
  <sheetViews>
    <sheetView zoomScale="70" zoomScaleNormal="7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5.75"/>
  <cols>
    <col min="1" max="1" width="29.75" style="34" bestFit="1" customWidth="1"/>
    <col min="2" max="2" width="39.875" style="3" bestFit="1" customWidth="1"/>
    <col min="3" max="3" width="55.125" style="42" customWidth="1"/>
    <col min="4" max="4" width="19" style="42" bestFit="1" customWidth="1"/>
    <col min="5" max="16384" width="9" style="3"/>
  </cols>
  <sheetData>
    <row r="2" spans="1:4">
      <c r="A2" s="3" t="s">
        <v>132</v>
      </c>
    </row>
    <row r="3" spans="1:4">
      <c r="A3" s="3" t="s">
        <v>122</v>
      </c>
    </row>
    <row r="4" spans="1:4">
      <c r="A4" s="3" t="s">
        <v>133</v>
      </c>
    </row>
    <row r="5" spans="1:4">
      <c r="A5" s="34" t="s">
        <v>110</v>
      </c>
      <c r="B5" s="41" t="s">
        <v>134</v>
      </c>
      <c r="D5" s="46" t="s">
        <v>141</v>
      </c>
    </row>
    <row r="6" spans="1:4">
      <c r="A6" s="34" t="s">
        <v>9</v>
      </c>
      <c r="B6" s="3" t="s">
        <v>33</v>
      </c>
      <c r="C6" s="42" t="s">
        <v>34</v>
      </c>
      <c r="D6" s="42" t="s">
        <v>0</v>
      </c>
    </row>
    <row r="7" spans="1:4" ht="15.75" customHeight="1">
      <c r="A7" s="31"/>
      <c r="B7" s="3" t="s">
        <v>35</v>
      </c>
      <c r="C7" s="32" t="s">
        <v>53</v>
      </c>
      <c r="D7" s="45">
        <v>-946000</v>
      </c>
    </row>
    <row r="8" spans="1:4" ht="15.75" customHeight="1">
      <c r="A8" s="31"/>
      <c r="B8" s="3" t="s">
        <v>35</v>
      </c>
      <c r="C8" s="32" t="s">
        <v>50</v>
      </c>
      <c r="D8" s="45">
        <v>-17340.96</v>
      </c>
    </row>
    <row r="9" spans="1:4" ht="15.75" customHeight="1">
      <c r="A9" s="31"/>
      <c r="B9" s="3" t="s">
        <v>35</v>
      </c>
      <c r="C9" s="32" t="s">
        <v>120</v>
      </c>
      <c r="D9" s="45">
        <v>6785</v>
      </c>
    </row>
    <row r="10" spans="1:4" ht="15.75" customHeight="1">
      <c r="A10" s="33"/>
      <c r="B10" s="3" t="s">
        <v>35</v>
      </c>
      <c r="C10" s="32" t="s">
        <v>123</v>
      </c>
      <c r="D10" s="45">
        <v>-255000</v>
      </c>
    </row>
    <row r="11" spans="1:4" ht="15.75" customHeight="1">
      <c r="A11" s="33"/>
      <c r="B11" s="3" t="s">
        <v>35</v>
      </c>
      <c r="C11" s="32" t="s">
        <v>124</v>
      </c>
      <c r="D11" s="45">
        <v>-837812.98</v>
      </c>
    </row>
    <row r="12" spans="1:4" ht="15.75" customHeight="1">
      <c r="A12" s="33">
        <v>24</v>
      </c>
      <c r="B12" s="3" t="s">
        <v>35</v>
      </c>
      <c r="C12" s="32" t="s">
        <v>36</v>
      </c>
      <c r="D12" s="45">
        <v>9556511.1799999997</v>
      </c>
    </row>
    <row r="13" spans="1:4" ht="15.75" customHeight="1">
      <c r="A13" s="31" t="s">
        <v>136</v>
      </c>
      <c r="B13" s="3" t="s">
        <v>35</v>
      </c>
      <c r="C13" s="32" t="s">
        <v>37</v>
      </c>
      <c r="D13" s="45">
        <v>31293.52</v>
      </c>
    </row>
    <row r="14" spans="1:4" ht="15.75" customHeight="1">
      <c r="A14" s="31">
        <v>36</v>
      </c>
      <c r="B14" s="3" t="s">
        <v>35</v>
      </c>
      <c r="C14" s="32" t="s">
        <v>38</v>
      </c>
      <c r="D14" s="45">
        <v>10781084.630000001</v>
      </c>
    </row>
    <row r="15" spans="1:4" ht="15.75" customHeight="1">
      <c r="A15" s="31">
        <v>48</v>
      </c>
      <c r="B15" s="3" t="s">
        <v>35</v>
      </c>
      <c r="C15" s="32" t="s">
        <v>39</v>
      </c>
      <c r="D15" s="45">
        <v>1992589.38</v>
      </c>
    </row>
    <row r="16" spans="1:4" ht="15.75" customHeight="1">
      <c r="A16" s="31"/>
      <c r="B16" s="3" t="s">
        <v>35</v>
      </c>
      <c r="C16" s="32" t="s">
        <v>40</v>
      </c>
      <c r="D16" s="45">
        <v>41679.97</v>
      </c>
    </row>
    <row r="17" spans="1:4" ht="15.75" customHeight="1">
      <c r="A17" s="31"/>
      <c r="B17" s="3" t="s">
        <v>35</v>
      </c>
      <c r="C17" s="32" t="s">
        <v>42</v>
      </c>
      <c r="D17" s="45">
        <v>193.11</v>
      </c>
    </row>
    <row r="18" spans="1:4" ht="15.75" customHeight="1">
      <c r="A18" s="31"/>
      <c r="B18" s="3" t="s">
        <v>35</v>
      </c>
      <c r="C18" s="32" t="s">
        <v>43</v>
      </c>
      <c r="D18" s="45">
        <v>105391.16</v>
      </c>
    </row>
    <row r="19" spans="1:4" ht="15.75" customHeight="1">
      <c r="A19" s="31"/>
      <c r="B19" s="3" t="s">
        <v>35</v>
      </c>
      <c r="C19" s="32" t="s">
        <v>45</v>
      </c>
      <c r="D19" s="45">
        <v>167.19</v>
      </c>
    </row>
    <row r="20" spans="1:4" ht="15.75" customHeight="1">
      <c r="A20" s="31">
        <v>15</v>
      </c>
      <c r="B20" s="3" t="s">
        <v>35</v>
      </c>
      <c r="C20" s="32" t="s">
        <v>46</v>
      </c>
      <c r="D20" s="45">
        <v>53629.83</v>
      </c>
    </row>
    <row r="21" spans="1:4" ht="15.75" customHeight="1">
      <c r="A21" s="31">
        <v>54</v>
      </c>
      <c r="B21" s="3" t="s">
        <v>35</v>
      </c>
      <c r="C21" s="32" t="s">
        <v>47</v>
      </c>
      <c r="D21" s="45">
        <v>3888.91</v>
      </c>
    </row>
    <row r="22" spans="1:4" ht="15.75" customHeight="1">
      <c r="A22" s="31"/>
      <c r="B22" s="3" t="s">
        <v>35</v>
      </c>
      <c r="C22" s="32" t="s">
        <v>129</v>
      </c>
      <c r="D22" s="45">
        <v>-0.28999999999999998</v>
      </c>
    </row>
    <row r="23" spans="1:4" ht="15.75" customHeight="1">
      <c r="A23" s="31"/>
      <c r="B23" s="3" t="s">
        <v>35</v>
      </c>
      <c r="C23" s="32" t="s">
        <v>49</v>
      </c>
      <c r="D23" s="45">
        <v>0.74</v>
      </c>
    </row>
    <row r="24" spans="1:4" ht="15.75" customHeight="1">
      <c r="A24" s="31"/>
      <c r="B24" s="3" t="s">
        <v>35</v>
      </c>
      <c r="C24" s="32" t="s">
        <v>48</v>
      </c>
      <c r="D24" s="45">
        <v>-7.0000000000000007E-2</v>
      </c>
    </row>
    <row r="25" spans="1:4" ht="15.75" customHeight="1">
      <c r="A25" s="31"/>
      <c r="B25" s="3" t="s">
        <v>35</v>
      </c>
      <c r="C25" s="32" t="s">
        <v>91</v>
      </c>
      <c r="D25" s="45">
        <v>2332.52</v>
      </c>
    </row>
    <row r="26" spans="1:4" ht="15.75" customHeight="1">
      <c r="A26" s="31">
        <v>24</v>
      </c>
      <c r="B26" s="3" t="s">
        <v>35</v>
      </c>
      <c r="C26" s="32" t="s">
        <v>92</v>
      </c>
      <c r="D26" s="45">
        <v>2569.66</v>
      </c>
    </row>
    <row r="27" spans="1:4" ht="15.75" customHeight="1">
      <c r="A27" s="31">
        <v>24</v>
      </c>
      <c r="B27" s="3" t="s">
        <v>35</v>
      </c>
      <c r="C27" s="32" t="s">
        <v>96</v>
      </c>
      <c r="D27" s="45">
        <v>893375.05</v>
      </c>
    </row>
    <row r="28" spans="1:4" ht="15.75" customHeight="1">
      <c r="A28" s="31"/>
      <c r="B28" s="3" t="s">
        <v>35</v>
      </c>
      <c r="C28" s="32" t="s">
        <v>102</v>
      </c>
      <c r="D28" s="45">
        <v>-48178.239999999998</v>
      </c>
    </row>
    <row r="29" spans="1:4" ht="15.75" customHeight="1">
      <c r="A29" s="31" t="s">
        <v>137</v>
      </c>
      <c r="B29" s="3" t="s">
        <v>35</v>
      </c>
      <c r="C29" s="32" t="s">
        <v>97</v>
      </c>
      <c r="D29" s="45">
        <v>6449.25</v>
      </c>
    </row>
    <row r="30" spans="1:4" ht="15.75" customHeight="1">
      <c r="A30" s="33"/>
      <c r="B30" s="3" t="s">
        <v>35</v>
      </c>
      <c r="C30" s="32" t="s">
        <v>103</v>
      </c>
      <c r="D30" s="45">
        <v>-80.290000000000006</v>
      </c>
    </row>
    <row r="31" spans="1:4" ht="15.75" customHeight="1">
      <c r="A31" s="31">
        <v>36</v>
      </c>
      <c r="B31" s="3" t="s">
        <v>35</v>
      </c>
      <c r="C31" s="32" t="s">
        <v>106</v>
      </c>
      <c r="D31" s="45">
        <v>1245439.46</v>
      </c>
    </row>
    <row r="32" spans="1:4" ht="15.75" customHeight="1">
      <c r="A32" s="31"/>
      <c r="B32" s="3" t="s">
        <v>35</v>
      </c>
      <c r="C32" s="32" t="s">
        <v>99</v>
      </c>
      <c r="D32" s="45">
        <v>-87417.19</v>
      </c>
    </row>
    <row r="33" spans="1:4" ht="15.75" customHeight="1">
      <c r="A33" s="31">
        <v>15</v>
      </c>
      <c r="B33" s="3" t="s">
        <v>35</v>
      </c>
      <c r="C33" s="32" t="s">
        <v>104</v>
      </c>
      <c r="D33" s="45">
        <v>21088.32</v>
      </c>
    </row>
    <row r="34" spans="1:4" ht="15.75" customHeight="1">
      <c r="A34" s="31"/>
      <c r="B34" s="3" t="s">
        <v>35</v>
      </c>
      <c r="C34" s="32" t="s">
        <v>100</v>
      </c>
      <c r="D34" s="45">
        <v>-665.76</v>
      </c>
    </row>
    <row r="35" spans="1:4" ht="15.75" customHeight="1">
      <c r="A35" s="31" t="s">
        <v>136</v>
      </c>
      <c r="B35" s="3" t="s">
        <v>35</v>
      </c>
      <c r="C35" s="32" t="s">
        <v>105</v>
      </c>
      <c r="D35" s="45">
        <v>5361.47</v>
      </c>
    </row>
    <row r="36" spans="1:4" ht="15.75" customHeight="1">
      <c r="A36" s="31"/>
      <c r="B36" s="3" t="s">
        <v>35</v>
      </c>
      <c r="C36" s="32" t="s">
        <v>95</v>
      </c>
      <c r="D36" s="45">
        <v>-0.96</v>
      </c>
    </row>
    <row r="37" spans="1:4" ht="15.75" customHeight="1">
      <c r="A37" s="31"/>
      <c r="B37" s="3" t="s">
        <v>35</v>
      </c>
      <c r="C37" s="32" t="s">
        <v>111</v>
      </c>
      <c r="D37" s="45">
        <v>9008.69</v>
      </c>
    </row>
    <row r="38" spans="1:4" ht="15.75" customHeight="1">
      <c r="A38" s="31"/>
      <c r="B38" s="3" t="s">
        <v>35</v>
      </c>
      <c r="C38" s="32" t="s">
        <v>112</v>
      </c>
      <c r="D38" s="45">
        <v>726.47</v>
      </c>
    </row>
    <row r="39" spans="1:4" ht="15.75" customHeight="1">
      <c r="A39" s="31">
        <v>36</v>
      </c>
      <c r="B39" s="3" t="s">
        <v>35</v>
      </c>
      <c r="C39" s="32" t="s">
        <v>125</v>
      </c>
      <c r="D39" s="45">
        <v>3318.18</v>
      </c>
    </row>
    <row r="40" spans="1:4" ht="15.75" customHeight="1">
      <c r="A40" s="31"/>
      <c r="B40" s="3" t="s">
        <v>35</v>
      </c>
      <c r="C40" s="32" t="s">
        <v>52</v>
      </c>
      <c r="D40" s="45"/>
    </row>
    <row r="41" spans="1:4" ht="15.75" customHeight="1">
      <c r="A41" s="31"/>
      <c r="B41" s="3" t="s">
        <v>35</v>
      </c>
      <c r="C41" s="32" t="s">
        <v>51</v>
      </c>
      <c r="D41" s="45"/>
    </row>
    <row r="42" spans="1:4" ht="15.75" customHeight="1">
      <c r="A42" s="31"/>
      <c r="B42" s="3" t="s">
        <v>55</v>
      </c>
      <c r="C42" s="32" t="s">
        <v>53</v>
      </c>
      <c r="D42" s="45">
        <v>-345000</v>
      </c>
    </row>
    <row r="43" spans="1:4" ht="15.75" customHeight="1">
      <c r="A43" s="31"/>
      <c r="B43" s="3" t="s">
        <v>55</v>
      </c>
      <c r="C43" s="32" t="s">
        <v>50</v>
      </c>
      <c r="D43" s="45">
        <v>-552.03</v>
      </c>
    </row>
    <row r="44" spans="1:4" ht="15.75" customHeight="1">
      <c r="A44" s="31"/>
      <c r="B44" s="3" t="s">
        <v>55</v>
      </c>
      <c r="C44" s="32" t="s">
        <v>120</v>
      </c>
      <c r="D44" s="45">
        <v>3881.96</v>
      </c>
    </row>
    <row r="45" spans="1:4" ht="15.75" customHeight="1">
      <c r="A45" s="31"/>
      <c r="B45" s="3" t="s">
        <v>55</v>
      </c>
      <c r="C45" s="32" t="s">
        <v>123</v>
      </c>
      <c r="D45" s="45">
        <v>-127500</v>
      </c>
    </row>
    <row r="46" spans="1:4" ht="15.75" customHeight="1">
      <c r="A46" s="31"/>
      <c r="B46" s="3" t="s">
        <v>55</v>
      </c>
      <c r="C46" s="32" t="s">
        <v>124</v>
      </c>
      <c r="D46" s="45">
        <v>-351519.04</v>
      </c>
    </row>
    <row r="47" spans="1:4" ht="15.75" customHeight="1">
      <c r="A47" s="34">
        <v>24</v>
      </c>
      <c r="B47" s="3" t="s">
        <v>55</v>
      </c>
      <c r="C47" s="43" t="s">
        <v>36</v>
      </c>
      <c r="D47" s="45">
        <v>330203.14</v>
      </c>
    </row>
    <row r="48" spans="1:4" ht="15.75" customHeight="1">
      <c r="A48" s="34" t="s">
        <v>136</v>
      </c>
      <c r="B48" s="3" t="s">
        <v>55</v>
      </c>
      <c r="C48" s="42" t="s">
        <v>37</v>
      </c>
      <c r="D48" s="45">
        <v>1722.03</v>
      </c>
    </row>
    <row r="49" spans="1:4" ht="15.75" customHeight="1">
      <c r="A49" s="34">
        <v>36</v>
      </c>
      <c r="B49" s="3" t="s">
        <v>55</v>
      </c>
      <c r="C49" s="42" t="s">
        <v>38</v>
      </c>
      <c r="D49" s="45">
        <v>1858554.63</v>
      </c>
    </row>
    <row r="50" spans="1:4" ht="15.75" customHeight="1">
      <c r="A50" s="34">
        <v>48</v>
      </c>
      <c r="B50" s="3" t="s">
        <v>55</v>
      </c>
      <c r="C50" s="32" t="s">
        <v>39</v>
      </c>
      <c r="D50" s="45">
        <v>8361258.9199999999</v>
      </c>
    </row>
    <row r="51" spans="1:4" ht="15.75" customHeight="1">
      <c r="A51" s="34">
        <v>15</v>
      </c>
      <c r="B51" s="3" t="s">
        <v>55</v>
      </c>
      <c r="C51" s="32" t="s">
        <v>46</v>
      </c>
      <c r="D51" s="45">
        <v>3729.48</v>
      </c>
    </row>
    <row r="52" spans="1:4" ht="15.75" customHeight="1">
      <c r="A52" s="34">
        <v>47</v>
      </c>
      <c r="B52" s="3" t="s">
        <v>55</v>
      </c>
      <c r="C52" s="32" t="s">
        <v>57</v>
      </c>
      <c r="D52" s="45">
        <v>59268.59</v>
      </c>
    </row>
    <row r="53" spans="1:4" ht="15.75" customHeight="1">
      <c r="A53" s="34">
        <v>24</v>
      </c>
      <c r="B53" s="3" t="s">
        <v>55</v>
      </c>
      <c r="C53" s="32" t="s">
        <v>96</v>
      </c>
      <c r="D53" s="45">
        <v>39292.94</v>
      </c>
    </row>
    <row r="54" spans="1:4" ht="15.75" customHeight="1">
      <c r="B54" s="3" t="s">
        <v>55</v>
      </c>
      <c r="C54" s="32" t="s">
        <v>102</v>
      </c>
      <c r="D54" s="45">
        <v>-2108.69</v>
      </c>
    </row>
    <row r="55" spans="1:4" ht="15.75" customHeight="1">
      <c r="A55" s="34" t="s">
        <v>137</v>
      </c>
      <c r="B55" s="3" t="s">
        <v>55</v>
      </c>
      <c r="C55" s="32" t="s">
        <v>97</v>
      </c>
      <c r="D55" s="45">
        <v>93.53</v>
      </c>
    </row>
    <row r="56" spans="1:4" ht="15.75" customHeight="1">
      <c r="B56" s="3" t="s">
        <v>55</v>
      </c>
      <c r="C56" s="32" t="s">
        <v>103</v>
      </c>
      <c r="D56" s="45">
        <v>-0.06</v>
      </c>
    </row>
    <row r="57" spans="1:4" ht="15.75" customHeight="1">
      <c r="A57" s="34">
        <v>36</v>
      </c>
      <c r="B57" s="3" t="s">
        <v>55</v>
      </c>
      <c r="C57" s="32" t="s">
        <v>106</v>
      </c>
      <c r="D57" s="45">
        <v>69860.06</v>
      </c>
    </row>
    <row r="58" spans="1:4" ht="15.75" customHeight="1">
      <c r="B58" s="3" t="s">
        <v>55</v>
      </c>
      <c r="C58" s="32" t="s">
        <v>99</v>
      </c>
      <c r="D58" s="45">
        <v>-2192.36</v>
      </c>
    </row>
    <row r="59" spans="1:4" ht="15.75" customHeight="1">
      <c r="A59" s="34">
        <v>15</v>
      </c>
      <c r="B59" s="3" t="s">
        <v>55</v>
      </c>
      <c r="C59" s="32" t="s">
        <v>104</v>
      </c>
      <c r="D59" s="45">
        <v>1044.33</v>
      </c>
    </row>
    <row r="60" spans="1:4" ht="15.75" customHeight="1">
      <c r="B60" s="3" t="s">
        <v>55</v>
      </c>
      <c r="C60" s="32" t="s">
        <v>100</v>
      </c>
      <c r="D60" s="45">
        <v>-32.700000000000003</v>
      </c>
    </row>
    <row r="61" spans="1:4" ht="15.75" customHeight="1">
      <c r="B61" s="3" t="s">
        <v>55</v>
      </c>
      <c r="C61" s="32" t="s">
        <v>52</v>
      </c>
      <c r="D61" s="45"/>
    </row>
    <row r="62" spans="1:4" ht="15.75" customHeight="1">
      <c r="B62" s="3" t="s">
        <v>55</v>
      </c>
      <c r="C62" s="32" t="s">
        <v>51</v>
      </c>
      <c r="D62" s="45"/>
    </row>
    <row r="63" spans="1:4" ht="15.75" customHeight="1">
      <c r="B63" s="3" t="s">
        <v>58</v>
      </c>
      <c r="C63" s="32" t="s">
        <v>64</v>
      </c>
      <c r="D63" s="45">
        <v>121000</v>
      </c>
    </row>
    <row r="64" spans="1:4" ht="15.75" customHeight="1">
      <c r="B64" s="3" t="s">
        <v>58</v>
      </c>
      <c r="C64" s="32" t="s">
        <v>63</v>
      </c>
      <c r="D64" s="45">
        <v>-1420.25</v>
      </c>
    </row>
    <row r="65" spans="1:4" ht="15.75" customHeight="1">
      <c r="B65" s="3" t="s">
        <v>58</v>
      </c>
      <c r="C65" s="32" t="s">
        <v>123</v>
      </c>
      <c r="D65" s="45">
        <v>-30000</v>
      </c>
    </row>
    <row r="66" spans="1:4" ht="15.75" customHeight="1">
      <c r="B66" s="3" t="s">
        <v>58</v>
      </c>
      <c r="C66" s="32" t="s">
        <v>126</v>
      </c>
      <c r="D66" s="45">
        <v>27800</v>
      </c>
    </row>
    <row r="67" spans="1:4" ht="15.75" customHeight="1">
      <c r="B67" s="3" t="s">
        <v>58</v>
      </c>
      <c r="C67" s="32" t="s">
        <v>124</v>
      </c>
      <c r="D67" s="45">
        <v>-10164.92</v>
      </c>
    </row>
    <row r="68" spans="1:4" ht="15.75" customHeight="1">
      <c r="A68" s="34">
        <v>40</v>
      </c>
      <c r="B68" s="3" t="s">
        <v>58</v>
      </c>
      <c r="C68" s="32" t="s">
        <v>59</v>
      </c>
      <c r="D68" s="45">
        <v>165693.29999999999</v>
      </c>
    </row>
    <row r="69" spans="1:4" ht="15.75" customHeight="1">
      <c r="B69" s="3" t="s">
        <v>58</v>
      </c>
      <c r="C69" s="32" t="s">
        <v>59</v>
      </c>
      <c r="D69" s="45">
        <v>-12061.42</v>
      </c>
    </row>
    <row r="70" spans="1:4" ht="15.75" customHeight="1">
      <c r="A70" s="34" t="s">
        <v>138</v>
      </c>
      <c r="B70" s="3" t="s">
        <v>58</v>
      </c>
      <c r="C70" s="32" t="s">
        <v>60</v>
      </c>
      <c r="D70" s="45">
        <v>53970.46</v>
      </c>
    </row>
    <row r="71" spans="1:4" ht="15.75" customHeight="1">
      <c r="B71" s="3" t="s">
        <v>58</v>
      </c>
      <c r="C71" s="32" t="s">
        <v>41</v>
      </c>
      <c r="D71" s="45">
        <v>400.56</v>
      </c>
    </row>
    <row r="72" spans="1:4" ht="15.75" customHeight="1">
      <c r="B72" s="3" t="s">
        <v>58</v>
      </c>
      <c r="C72" s="44" t="s">
        <v>42</v>
      </c>
      <c r="D72" s="45">
        <v>15</v>
      </c>
    </row>
    <row r="73" spans="1:4" ht="15.75" customHeight="1">
      <c r="B73" s="3" t="s">
        <v>58</v>
      </c>
      <c r="C73" s="42" t="s">
        <v>44</v>
      </c>
      <c r="D73" s="45">
        <v>60689.69</v>
      </c>
    </row>
    <row r="74" spans="1:4" ht="15.75" customHeight="1">
      <c r="B74" s="3" t="s">
        <v>58</v>
      </c>
      <c r="C74" s="42" t="s">
        <v>111</v>
      </c>
      <c r="D74" s="45">
        <v>18.559999999999999</v>
      </c>
    </row>
    <row r="75" spans="1:4" ht="15.75" customHeight="1">
      <c r="B75" s="3" t="s">
        <v>58</v>
      </c>
      <c r="C75" s="32" t="s">
        <v>113</v>
      </c>
      <c r="D75" s="45">
        <v>6543.31</v>
      </c>
    </row>
    <row r="76" spans="1:4" ht="15.75" customHeight="1">
      <c r="B76" s="3" t="s">
        <v>58</v>
      </c>
      <c r="C76" s="32" t="s">
        <v>61</v>
      </c>
      <c r="D76" s="45"/>
    </row>
    <row r="77" spans="1:4" ht="15.75" customHeight="1">
      <c r="B77" s="3" t="s">
        <v>58</v>
      </c>
      <c r="C77" s="32" t="s">
        <v>62</v>
      </c>
      <c r="D77" s="45"/>
    </row>
    <row r="78" spans="1:4" ht="15.75" customHeight="1">
      <c r="B78" s="3" t="s">
        <v>65</v>
      </c>
      <c r="C78" s="32" t="s">
        <v>53</v>
      </c>
      <c r="D78" s="45">
        <v>-10000</v>
      </c>
    </row>
    <row r="79" spans="1:4" ht="15.75" customHeight="1">
      <c r="B79" s="3" t="s">
        <v>65</v>
      </c>
      <c r="C79" s="32" t="s">
        <v>123</v>
      </c>
      <c r="D79" s="45">
        <v>-7500</v>
      </c>
    </row>
    <row r="80" spans="1:4" ht="15.75" customHeight="1">
      <c r="B80" s="3" t="s">
        <v>65</v>
      </c>
      <c r="C80" s="32" t="s">
        <v>124</v>
      </c>
      <c r="D80" s="45">
        <v>-5849.66</v>
      </c>
    </row>
    <row r="81" spans="1:4" ht="15.75" customHeight="1">
      <c r="B81" s="3" t="s">
        <v>65</v>
      </c>
      <c r="C81" s="32" t="s">
        <v>66</v>
      </c>
      <c r="D81" s="45">
        <v>22.71</v>
      </c>
    </row>
    <row r="82" spans="1:4" ht="15.75" customHeight="1">
      <c r="A82" s="34">
        <v>52</v>
      </c>
      <c r="B82" s="3" t="s">
        <v>65</v>
      </c>
      <c r="C82" s="32" t="s">
        <v>67</v>
      </c>
      <c r="D82" s="45">
        <v>12762.34</v>
      </c>
    </row>
    <row r="83" spans="1:4" ht="15.75" customHeight="1">
      <c r="A83" s="34" t="s">
        <v>139</v>
      </c>
      <c r="B83" s="3" t="s">
        <v>65</v>
      </c>
      <c r="C83" s="32" t="s">
        <v>68</v>
      </c>
      <c r="D83" s="45">
        <v>61605.78</v>
      </c>
    </row>
    <row r="84" spans="1:4" ht="15.75" customHeight="1">
      <c r="A84" s="34">
        <v>53</v>
      </c>
      <c r="B84" s="3" t="s">
        <v>65</v>
      </c>
      <c r="C84" s="32" t="s">
        <v>69</v>
      </c>
      <c r="D84" s="45">
        <v>23807.29</v>
      </c>
    </row>
    <row r="85" spans="1:4" ht="15.75" customHeight="1">
      <c r="A85" s="34">
        <v>51</v>
      </c>
      <c r="B85" s="3" t="s">
        <v>65</v>
      </c>
      <c r="C85" s="32" t="s">
        <v>70</v>
      </c>
      <c r="D85" s="45">
        <v>169857.83</v>
      </c>
    </row>
    <row r="86" spans="1:4" ht="15.75" customHeight="1">
      <c r="A86" s="34">
        <v>57</v>
      </c>
      <c r="B86" s="3" t="s">
        <v>65</v>
      </c>
      <c r="C86" s="32" t="s">
        <v>71</v>
      </c>
      <c r="D86" s="45">
        <v>58169.25</v>
      </c>
    </row>
    <row r="87" spans="1:4" ht="15.75" customHeight="1">
      <c r="B87" s="3" t="s">
        <v>65</v>
      </c>
      <c r="C87" s="32" t="s">
        <v>52</v>
      </c>
      <c r="D87" s="45"/>
    </row>
    <row r="88" spans="1:4" ht="15.75" customHeight="1">
      <c r="B88" s="3" t="s">
        <v>72</v>
      </c>
      <c r="C88" s="32" t="s">
        <v>53</v>
      </c>
      <c r="D88" s="45">
        <v>-3233000</v>
      </c>
    </row>
    <row r="89" spans="1:4" ht="15.75" customHeight="1">
      <c r="B89" s="3" t="s">
        <v>72</v>
      </c>
      <c r="C89" s="32" t="s">
        <v>50</v>
      </c>
      <c r="D89" s="45">
        <v>-304909.57</v>
      </c>
    </row>
    <row r="90" spans="1:4" ht="15.75" customHeight="1">
      <c r="B90" s="3" t="s">
        <v>72</v>
      </c>
      <c r="C90" s="32" t="s">
        <v>120</v>
      </c>
      <c r="D90" s="45">
        <v>7853.97</v>
      </c>
    </row>
    <row r="91" spans="1:4" ht="15.75" customHeight="1">
      <c r="B91" s="3" t="s">
        <v>72</v>
      </c>
      <c r="C91" s="32" t="s">
        <v>123</v>
      </c>
      <c r="D91" s="45">
        <v>-330000</v>
      </c>
    </row>
    <row r="92" spans="1:4" ht="15.75" customHeight="1">
      <c r="B92" s="3" t="s">
        <v>72</v>
      </c>
      <c r="C92" s="32" t="s">
        <v>124</v>
      </c>
      <c r="D92" s="45">
        <v>-1437200.4</v>
      </c>
    </row>
    <row r="93" spans="1:4" ht="15.75" customHeight="1">
      <c r="A93" s="34">
        <v>16</v>
      </c>
      <c r="B93" s="3" t="s">
        <v>72</v>
      </c>
      <c r="C93" s="32" t="s">
        <v>73</v>
      </c>
      <c r="D93" s="45">
        <v>40802155.359999999</v>
      </c>
    </row>
    <row r="94" spans="1:4" ht="15.75" customHeight="1">
      <c r="B94" s="3" t="s">
        <v>72</v>
      </c>
      <c r="C94" s="44" t="s">
        <v>73</v>
      </c>
      <c r="D94" s="45">
        <v>-2303594.88</v>
      </c>
    </row>
    <row r="95" spans="1:4" ht="15.75" customHeight="1">
      <c r="A95" s="34">
        <v>18</v>
      </c>
      <c r="B95" s="3" t="s">
        <v>72</v>
      </c>
      <c r="C95" s="42" t="s">
        <v>76</v>
      </c>
      <c r="D95" s="45">
        <v>58033.55</v>
      </c>
    </row>
    <row r="96" spans="1:4" ht="15.75" customHeight="1">
      <c r="B96" s="3" t="s">
        <v>72</v>
      </c>
      <c r="C96" s="32" t="s">
        <v>76</v>
      </c>
      <c r="D96" s="45">
        <v>-3051.37</v>
      </c>
    </row>
    <row r="97" spans="1:4" ht="15.75" customHeight="1">
      <c r="A97" s="34" t="s">
        <v>140</v>
      </c>
      <c r="B97" s="3" t="s">
        <v>72</v>
      </c>
      <c r="C97" s="32" t="s">
        <v>77</v>
      </c>
      <c r="D97" s="45">
        <v>9599.5499999999993</v>
      </c>
    </row>
    <row r="98" spans="1:4" ht="15.75" customHeight="1">
      <c r="B98" s="3" t="s">
        <v>72</v>
      </c>
      <c r="C98" s="32" t="s">
        <v>77</v>
      </c>
      <c r="D98" s="45">
        <v>-514.1</v>
      </c>
    </row>
    <row r="99" spans="1:4" ht="15.75" customHeight="1">
      <c r="B99" s="3" t="s">
        <v>72</v>
      </c>
      <c r="C99" s="32" t="s">
        <v>130</v>
      </c>
      <c r="D99" s="45">
        <v>22.83</v>
      </c>
    </row>
    <row r="100" spans="1:4" ht="15.75" customHeight="1">
      <c r="B100" s="3" t="s">
        <v>72</v>
      </c>
      <c r="C100" s="32" t="s">
        <v>49</v>
      </c>
      <c r="D100" s="45">
        <v>-0.25</v>
      </c>
    </row>
    <row r="101" spans="1:4" ht="15.75" customHeight="1">
      <c r="A101" s="34">
        <v>17</v>
      </c>
      <c r="B101" s="3" t="s">
        <v>72</v>
      </c>
      <c r="C101" s="32" t="s">
        <v>74</v>
      </c>
      <c r="D101" s="45">
        <v>1872983</v>
      </c>
    </row>
    <row r="102" spans="1:4" ht="15.75" customHeight="1">
      <c r="B102" s="3" t="s">
        <v>72</v>
      </c>
      <c r="C102" s="32" t="s">
        <v>75</v>
      </c>
      <c r="D102" s="45">
        <v>-105236.3</v>
      </c>
    </row>
    <row r="103" spans="1:4" ht="15.75" customHeight="1">
      <c r="B103" s="3" t="s">
        <v>72</v>
      </c>
      <c r="C103" s="32" t="s">
        <v>48</v>
      </c>
      <c r="D103" s="45">
        <v>-0.01</v>
      </c>
    </row>
    <row r="104" spans="1:4" ht="15.75" customHeight="1">
      <c r="B104" s="3" t="s">
        <v>72</v>
      </c>
      <c r="C104" s="42" t="s">
        <v>94</v>
      </c>
      <c r="D104" s="45">
        <v>25000</v>
      </c>
    </row>
    <row r="105" spans="1:4" ht="15.75" customHeight="1">
      <c r="A105" s="34">
        <v>15</v>
      </c>
      <c r="B105" s="3" t="s">
        <v>72</v>
      </c>
      <c r="C105" s="42" t="s">
        <v>107</v>
      </c>
      <c r="D105" s="45">
        <v>38893.1</v>
      </c>
    </row>
    <row r="106" spans="1:4" ht="15.75" customHeight="1">
      <c r="B106" s="3" t="s">
        <v>72</v>
      </c>
      <c r="C106" s="42" t="s">
        <v>108</v>
      </c>
      <c r="D106" s="45">
        <v>-1219.1099999999999</v>
      </c>
    </row>
    <row r="107" spans="1:4" ht="15.75" customHeight="1">
      <c r="A107" s="34">
        <v>135</v>
      </c>
      <c r="B107" s="3" t="s">
        <v>72</v>
      </c>
      <c r="C107" s="42" t="s">
        <v>117</v>
      </c>
      <c r="D107" s="45">
        <v>10973.88</v>
      </c>
    </row>
    <row r="108" spans="1:4" ht="15.75" customHeight="1">
      <c r="B108" s="3" t="s">
        <v>72</v>
      </c>
      <c r="C108" s="42" t="s">
        <v>121</v>
      </c>
      <c r="D108" s="45">
        <v>-597.55999999999995</v>
      </c>
    </row>
    <row r="109" spans="1:4" ht="15.75" customHeight="1">
      <c r="B109" s="3" t="s">
        <v>72</v>
      </c>
      <c r="C109" s="42" t="s">
        <v>52</v>
      </c>
      <c r="D109" s="45"/>
    </row>
    <row r="110" spans="1:4" ht="15.75" customHeight="1">
      <c r="B110" s="3" t="s">
        <v>72</v>
      </c>
      <c r="C110" s="42" t="s">
        <v>51</v>
      </c>
      <c r="D110" s="45"/>
    </row>
  </sheetData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R99"/>
  <sheetViews>
    <sheetView workbookViewId="0"/>
  </sheetViews>
  <sheetFormatPr defaultColWidth="9" defaultRowHeight="15.75"/>
  <cols>
    <col min="1" max="1" width="9" style="7"/>
    <col min="2" max="2" width="40.375" style="1" customWidth="1"/>
    <col min="3" max="14" width="12" style="1" customWidth="1"/>
    <col min="15" max="15" width="14.625" style="1" customWidth="1"/>
    <col min="16" max="16" width="9" style="1"/>
    <col min="17" max="17" width="2.25" style="1" customWidth="1"/>
    <col min="18" max="18" width="10.5" style="1" bestFit="1" customWidth="1"/>
    <col min="19" max="16384" width="9" style="1"/>
  </cols>
  <sheetData>
    <row r="1" spans="1:18"/>
    <row r="2" spans="1:18">
      <c r="A2" s="21" t="e">
        <f>#REF!</f>
        <v>#REF!</v>
      </c>
      <c r="B2" s="21"/>
      <c r="C2" s="1" t="s">
        <v>90</v>
      </c>
    </row>
    <row r="3" spans="1:18">
      <c r="A3" s="21" t="e">
        <f>#REF!</f>
        <v>#REF!</v>
      </c>
      <c r="B3" s="21"/>
    </row>
    <row r="4" spans="1:18">
      <c r="A4" s="21" t="e">
        <f>#REF!</f>
        <v>#REF!</v>
      </c>
      <c r="B4" s="21"/>
    </row>
    <row r="5" spans="1:18">
      <c r="B5" s="9" t="s">
        <v>115</v>
      </c>
      <c r="C5" s="10"/>
      <c r="D5" s="10"/>
      <c r="E5" s="10"/>
      <c r="F5" s="10"/>
      <c r="G5" s="22"/>
      <c r="H5" s="10"/>
      <c r="I5" s="10"/>
      <c r="J5" s="10"/>
      <c r="K5" s="10"/>
      <c r="L5" s="10"/>
      <c r="M5" s="10"/>
      <c r="N5" s="10"/>
      <c r="O5" s="12"/>
      <c r="P5" s="11" t="s">
        <v>31</v>
      </c>
    </row>
    <row r="6" spans="1:18">
      <c r="B6" s="1" t="s">
        <v>35</v>
      </c>
      <c r="G6" s="11"/>
      <c r="O6" s="20"/>
      <c r="P6" s="11" t="s">
        <v>116</v>
      </c>
      <c r="R6" s="5" t="s">
        <v>2</v>
      </c>
    </row>
    <row r="7" spans="1:18">
      <c r="C7" s="1">
        <v>200707</v>
      </c>
      <c r="D7" s="1">
        <v>200708</v>
      </c>
      <c r="E7" s="1">
        <f>D7+1</f>
        <v>200709</v>
      </c>
      <c r="F7" s="1">
        <f>E7+1</f>
        <v>200710</v>
      </c>
      <c r="G7" s="1">
        <f>F7+1</f>
        <v>200711</v>
      </c>
      <c r="H7" s="1">
        <f>G7+1</f>
        <v>200712</v>
      </c>
      <c r="I7" s="1">
        <v>200801</v>
      </c>
      <c r="J7" s="1">
        <f>I7+1</f>
        <v>200802</v>
      </c>
      <c r="K7" s="1">
        <f>J7+1</f>
        <v>200803</v>
      </c>
      <c r="L7" s="1">
        <f>K7+1</f>
        <v>200804</v>
      </c>
      <c r="M7" s="1">
        <f>L7+1</f>
        <v>200805</v>
      </c>
      <c r="N7" s="1">
        <f>M7+1</f>
        <v>200806</v>
      </c>
      <c r="O7" s="20" t="s">
        <v>54</v>
      </c>
      <c r="P7" s="25">
        <v>39260</v>
      </c>
      <c r="R7" s="5" t="s">
        <v>0</v>
      </c>
    </row>
    <row r="8" spans="1:18">
      <c r="A8" s="7">
        <v>24</v>
      </c>
      <c r="B8" s="1" t="s">
        <v>96</v>
      </c>
      <c r="C8" s="1">
        <v>4169692</v>
      </c>
      <c r="D8" s="1">
        <v>3723998</v>
      </c>
      <c r="E8" s="1">
        <v>3198923</v>
      </c>
      <c r="F8" s="1">
        <v>2755668</v>
      </c>
      <c r="G8" s="15">
        <v>3046052</v>
      </c>
      <c r="H8" s="1">
        <v>3335761</v>
      </c>
      <c r="I8" s="14">
        <v>3808717</v>
      </c>
      <c r="J8" s="14">
        <v>3873681</v>
      </c>
      <c r="K8" s="14">
        <v>3604333</v>
      </c>
      <c r="L8" s="14">
        <v>3283809</v>
      </c>
      <c r="M8" s="14">
        <v>3142167</v>
      </c>
      <c r="N8" s="14">
        <v>3774631</v>
      </c>
      <c r="O8" s="15">
        <f t="shared" ref="O8:O31" si="0">SUM(C8:N8)</f>
        <v>41717432</v>
      </c>
      <c r="P8" s="19">
        <v>1.24E-3</v>
      </c>
      <c r="R8" s="23">
        <f t="shared" ref="R8:R15" si="1">P8*O8</f>
        <v>51729.615680000003</v>
      </c>
    </row>
    <row r="9" spans="1:18">
      <c r="A9" s="7" t="s">
        <v>78</v>
      </c>
      <c r="B9" s="1" t="s">
        <v>105</v>
      </c>
      <c r="C9" s="1">
        <v>21238</v>
      </c>
      <c r="D9" s="1">
        <v>21238</v>
      </c>
      <c r="E9" s="1">
        <v>20942</v>
      </c>
      <c r="F9" s="1">
        <v>18280</v>
      </c>
      <c r="G9" s="15">
        <v>31065</v>
      </c>
      <c r="H9" s="1">
        <v>18280</v>
      </c>
      <c r="I9" s="4">
        <v>18281</v>
      </c>
      <c r="J9" s="4">
        <v>5495</v>
      </c>
      <c r="K9" s="4">
        <v>18280</v>
      </c>
      <c r="L9" s="4">
        <v>18280</v>
      </c>
      <c r="M9" s="4">
        <v>18280</v>
      </c>
      <c r="N9" s="4">
        <v>18280</v>
      </c>
      <c r="O9" s="15">
        <f t="shared" si="0"/>
        <v>227939</v>
      </c>
      <c r="P9" s="19">
        <v>1.24E-3</v>
      </c>
      <c r="R9" s="23">
        <f t="shared" si="1"/>
        <v>282.64436000000001</v>
      </c>
    </row>
    <row r="10" spans="1:18">
      <c r="A10" s="7" t="s">
        <v>82</v>
      </c>
      <c r="B10" s="1" t="s">
        <v>97</v>
      </c>
      <c r="C10" s="1">
        <v>1590</v>
      </c>
      <c r="D10" s="1">
        <v>2919</v>
      </c>
      <c r="E10" s="1">
        <v>11084</v>
      </c>
      <c r="F10" s="1">
        <v>174819</v>
      </c>
      <c r="G10" s="15">
        <v>139933</v>
      </c>
      <c r="H10" s="1">
        <v>22495</v>
      </c>
      <c r="I10" s="4">
        <v>14785</v>
      </c>
      <c r="J10" s="4">
        <v>13030</v>
      </c>
      <c r="K10" s="4">
        <v>-3559</v>
      </c>
      <c r="L10" s="4">
        <v>11843</v>
      </c>
      <c r="M10" s="4">
        <v>31064</v>
      </c>
      <c r="N10" s="4">
        <v>-15272</v>
      </c>
      <c r="O10" s="15">
        <f t="shared" si="0"/>
        <v>404731</v>
      </c>
      <c r="P10" s="19">
        <v>1.24E-3</v>
      </c>
      <c r="R10" s="23">
        <f t="shared" si="1"/>
        <v>501.86644000000001</v>
      </c>
    </row>
    <row r="11" spans="1:18">
      <c r="A11" s="7">
        <v>24</v>
      </c>
      <c r="B11" s="1" t="s">
        <v>36</v>
      </c>
      <c r="C11" s="15">
        <v>42970072</v>
      </c>
      <c r="D11" s="15">
        <v>42492319</v>
      </c>
      <c r="E11" s="15">
        <v>36262938</v>
      </c>
      <c r="F11" s="15">
        <v>33230542</v>
      </c>
      <c r="G11" s="15">
        <v>34869575</v>
      </c>
      <c r="H11" s="15">
        <v>36341153</v>
      </c>
      <c r="I11" s="4">
        <v>40445704</v>
      </c>
      <c r="J11" s="4">
        <v>44523686</v>
      </c>
      <c r="K11" s="4">
        <v>39679186</v>
      </c>
      <c r="L11" s="4">
        <v>35221083</v>
      </c>
      <c r="M11" s="4">
        <v>35809463</v>
      </c>
      <c r="N11" s="4">
        <v>43110158</v>
      </c>
      <c r="O11" s="15">
        <f t="shared" si="0"/>
        <v>464955879</v>
      </c>
      <c r="P11" s="19">
        <v>1.24E-3</v>
      </c>
      <c r="R11" s="23">
        <f t="shared" si="1"/>
        <v>576545.28995999997</v>
      </c>
    </row>
    <row r="12" spans="1:18">
      <c r="A12" s="7" t="s">
        <v>78</v>
      </c>
      <c r="B12" s="1" t="s">
        <v>37</v>
      </c>
      <c r="C12" s="15">
        <v>101764</v>
      </c>
      <c r="D12" s="15">
        <v>100304</v>
      </c>
      <c r="E12" s="15">
        <v>101677</v>
      </c>
      <c r="F12" s="15">
        <v>100074</v>
      </c>
      <c r="G12" s="15">
        <v>101098</v>
      </c>
      <c r="H12" s="15">
        <v>101728</v>
      </c>
      <c r="I12" s="4">
        <v>100888</v>
      </c>
      <c r="J12" s="4">
        <v>100882</v>
      </c>
      <c r="K12" s="4">
        <v>100000</v>
      </c>
      <c r="L12" s="4">
        <v>100094</v>
      </c>
      <c r="M12" s="4">
        <v>101670</v>
      </c>
      <c r="N12" s="4">
        <v>100935</v>
      </c>
      <c r="O12" s="15">
        <f t="shared" si="0"/>
        <v>1211114</v>
      </c>
      <c r="P12" s="19">
        <v>1.24E-3</v>
      </c>
      <c r="R12" s="23">
        <f t="shared" si="1"/>
        <v>1501.7813599999999</v>
      </c>
    </row>
    <row r="13" spans="1:18">
      <c r="A13" s="7">
        <v>36</v>
      </c>
      <c r="B13" s="1" t="s">
        <v>106</v>
      </c>
      <c r="C13" s="1">
        <v>7139320</v>
      </c>
      <c r="D13" s="1">
        <v>6651020</v>
      </c>
      <c r="E13" s="1">
        <v>5949180</v>
      </c>
      <c r="F13" s="1">
        <v>5427928</v>
      </c>
      <c r="G13" s="15">
        <v>5820260</v>
      </c>
      <c r="H13" s="1">
        <v>10710241</v>
      </c>
      <c r="I13" s="4">
        <v>6874968</v>
      </c>
      <c r="J13" s="4">
        <v>6866625</v>
      </c>
      <c r="K13" s="4">
        <v>7519899</v>
      </c>
      <c r="L13" s="4">
        <v>8709680</v>
      </c>
      <c r="M13" s="4">
        <v>6276100</v>
      </c>
      <c r="N13" s="4">
        <v>8286800</v>
      </c>
      <c r="O13" s="15">
        <f t="shared" si="0"/>
        <v>86232021</v>
      </c>
      <c r="P13" s="19">
        <v>1.0200000000000001E-3</v>
      </c>
      <c r="R13" s="23">
        <f t="shared" si="1"/>
        <v>87956.661420000004</v>
      </c>
    </row>
    <row r="14" spans="1:18">
      <c r="A14" s="7">
        <v>36</v>
      </c>
      <c r="B14" s="1" t="s">
        <v>38</v>
      </c>
      <c r="C14" s="15">
        <v>59368941</v>
      </c>
      <c r="D14" s="15">
        <v>56815580</v>
      </c>
      <c r="E14" s="15">
        <v>52729103</v>
      </c>
      <c r="F14" s="15">
        <v>48314509</v>
      </c>
      <c r="G14" s="15">
        <v>49936076</v>
      </c>
      <c r="H14" s="15">
        <v>46891727</v>
      </c>
      <c r="I14" s="4">
        <v>55644603</v>
      </c>
      <c r="J14" s="4">
        <v>59342604</v>
      </c>
      <c r="K14" s="4">
        <v>59603339</v>
      </c>
      <c r="L14" s="4">
        <v>65055503</v>
      </c>
      <c r="M14" s="4">
        <v>59222854</v>
      </c>
      <c r="N14" s="4">
        <v>61989884</v>
      </c>
      <c r="O14" s="15">
        <f t="shared" si="0"/>
        <v>674914723</v>
      </c>
      <c r="P14" s="19">
        <v>1.0200000000000001E-3</v>
      </c>
      <c r="R14" s="23">
        <f t="shared" si="1"/>
        <v>688413.01746</v>
      </c>
    </row>
    <row r="15" spans="1:18">
      <c r="A15" s="7" t="s">
        <v>81</v>
      </c>
      <c r="B15" s="1" t="s">
        <v>39</v>
      </c>
      <c r="C15" s="15">
        <v>14031760</v>
      </c>
      <c r="D15" s="15">
        <v>12105060</v>
      </c>
      <c r="E15" s="15">
        <v>12596320</v>
      </c>
      <c r="F15" s="15">
        <v>11333660</v>
      </c>
      <c r="G15" s="15">
        <v>11389980</v>
      </c>
      <c r="H15" s="15">
        <v>11786660</v>
      </c>
      <c r="I15" s="4">
        <v>12614402</v>
      </c>
      <c r="J15" s="4">
        <v>13075400</v>
      </c>
      <c r="K15" s="4">
        <v>13838880</v>
      </c>
      <c r="L15" s="4">
        <v>14709860</v>
      </c>
      <c r="M15" s="4">
        <v>12447520</v>
      </c>
      <c r="N15" s="4">
        <v>13113320</v>
      </c>
      <c r="O15" s="15">
        <f t="shared" si="0"/>
        <v>153042822</v>
      </c>
      <c r="P15" s="19">
        <v>8.3000000000000001E-4</v>
      </c>
      <c r="R15" s="23">
        <f t="shared" si="1"/>
        <v>127025.54226</v>
      </c>
    </row>
    <row r="16" spans="1:18">
      <c r="B16" s="1" t="s">
        <v>40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5">
        <f t="shared" si="0"/>
        <v>0</v>
      </c>
    </row>
    <row r="17" spans="1:18">
      <c r="B17" s="1" t="s">
        <v>41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5">
        <f t="shared" si="0"/>
        <v>0</v>
      </c>
    </row>
    <row r="18" spans="1:18">
      <c r="B18" s="1" t="s">
        <v>42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5">
        <f t="shared" si="0"/>
        <v>0</v>
      </c>
    </row>
    <row r="19" spans="1:18">
      <c r="B19" s="1" t="s">
        <v>43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5">
        <f t="shared" si="0"/>
        <v>0</v>
      </c>
    </row>
    <row r="20" spans="1:18">
      <c r="B20" s="1" t="s">
        <v>44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5">
        <f t="shared" si="0"/>
        <v>0</v>
      </c>
    </row>
    <row r="21" spans="1:18">
      <c r="A21" s="7" t="s">
        <v>8</v>
      </c>
      <c r="B21" s="1" t="s">
        <v>45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5">
        <f t="shared" si="0"/>
        <v>0</v>
      </c>
    </row>
    <row r="22" spans="1:18">
      <c r="A22" s="7" t="s">
        <v>8</v>
      </c>
      <c r="B22" s="1" t="s">
        <v>91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5">
        <f t="shared" si="0"/>
        <v>0</v>
      </c>
    </row>
    <row r="23" spans="1:18">
      <c r="B23" s="8" t="s">
        <v>111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5">
        <f t="shared" si="0"/>
        <v>0</v>
      </c>
    </row>
    <row r="24" spans="1:18">
      <c r="A24" s="7">
        <v>135</v>
      </c>
      <c r="B24" s="1" t="s">
        <v>92</v>
      </c>
      <c r="C24" s="15">
        <v>2307</v>
      </c>
      <c r="D24" s="15">
        <v>1428</v>
      </c>
      <c r="E24" s="1">
        <v>140</v>
      </c>
      <c r="F24" s="1">
        <v>0</v>
      </c>
      <c r="G24" s="1">
        <v>0</v>
      </c>
      <c r="H24" s="1">
        <v>0</v>
      </c>
      <c r="I24" s="4">
        <v>0</v>
      </c>
      <c r="J24" s="4">
        <v>0</v>
      </c>
      <c r="K24" s="4">
        <v>0</v>
      </c>
      <c r="L24" s="4">
        <v>18</v>
      </c>
      <c r="M24" s="4">
        <v>0</v>
      </c>
      <c r="N24" s="4">
        <v>1232</v>
      </c>
      <c r="O24" s="15">
        <f t="shared" si="0"/>
        <v>5125</v>
      </c>
      <c r="P24" s="19">
        <v>1.24E-3</v>
      </c>
      <c r="R24" s="23">
        <f>P24*O24</f>
        <v>6.3550000000000004</v>
      </c>
    </row>
    <row r="25" spans="1:18">
      <c r="A25" s="7" t="s">
        <v>79</v>
      </c>
      <c r="B25" s="1" t="s">
        <v>46</v>
      </c>
      <c r="C25" s="15">
        <v>135621</v>
      </c>
      <c r="D25" s="15">
        <v>152479</v>
      </c>
      <c r="E25" s="15">
        <v>143101</v>
      </c>
      <c r="F25" s="15">
        <v>144390</v>
      </c>
      <c r="G25" s="15">
        <v>147368</v>
      </c>
      <c r="H25" s="15">
        <v>125859</v>
      </c>
      <c r="I25" s="4">
        <v>142775</v>
      </c>
      <c r="J25" s="4">
        <v>145842</v>
      </c>
      <c r="K25" s="4">
        <v>135813</v>
      </c>
      <c r="L25" s="4">
        <v>146542</v>
      </c>
      <c r="M25" s="4">
        <v>137092</v>
      </c>
      <c r="N25" s="4">
        <v>143598</v>
      </c>
      <c r="O25" s="15">
        <f t="shared" si="0"/>
        <v>1700480</v>
      </c>
      <c r="P25" s="19">
        <v>1.09E-3</v>
      </c>
      <c r="R25" s="23">
        <f>P25*O25</f>
        <v>1853.5232000000001</v>
      </c>
    </row>
    <row r="26" spans="1:18">
      <c r="A26" s="7" t="s">
        <v>79</v>
      </c>
      <c r="B26" s="1" t="s">
        <v>104</v>
      </c>
      <c r="C26" s="1">
        <v>56080</v>
      </c>
      <c r="D26" s="1">
        <v>54964</v>
      </c>
      <c r="E26" s="1">
        <v>55214</v>
      </c>
      <c r="F26" s="1">
        <v>54647</v>
      </c>
      <c r="G26" s="15">
        <v>54911</v>
      </c>
      <c r="H26" s="1">
        <v>55184</v>
      </c>
      <c r="I26" s="4">
        <v>53677</v>
      </c>
      <c r="J26" s="4">
        <v>53325</v>
      </c>
      <c r="K26" s="4">
        <v>52348</v>
      </c>
      <c r="L26" s="4">
        <v>55316</v>
      </c>
      <c r="M26" s="4">
        <v>51552</v>
      </c>
      <c r="N26" s="4">
        <v>52753</v>
      </c>
      <c r="O26" s="15">
        <f t="shared" si="0"/>
        <v>649971</v>
      </c>
      <c r="P26" s="19">
        <v>1.09E-3</v>
      </c>
      <c r="R26" s="23">
        <f>P26*O26</f>
        <v>708.46839</v>
      </c>
    </row>
    <row r="27" spans="1:18">
      <c r="A27" s="7">
        <v>54</v>
      </c>
      <c r="B27" s="1" t="s">
        <v>47</v>
      </c>
      <c r="C27" s="15">
        <v>13222</v>
      </c>
      <c r="D27" s="15">
        <v>2552</v>
      </c>
      <c r="E27" s="15">
        <v>15473</v>
      </c>
      <c r="F27" s="15">
        <v>20107</v>
      </c>
      <c r="G27" s="15">
        <v>16713</v>
      </c>
      <c r="H27" s="15">
        <v>13439</v>
      </c>
      <c r="I27" s="4">
        <v>23259</v>
      </c>
      <c r="J27" s="4">
        <v>16201</v>
      </c>
      <c r="K27" s="4">
        <v>14873</v>
      </c>
      <c r="L27" s="4">
        <v>38831</v>
      </c>
      <c r="M27" s="4">
        <v>31315</v>
      </c>
      <c r="N27" s="4">
        <v>21266</v>
      </c>
      <c r="O27" s="15">
        <f t="shared" si="0"/>
        <v>227251</v>
      </c>
      <c r="P27" s="19">
        <v>1.48E-3</v>
      </c>
      <c r="R27" s="23">
        <f>P27*O27</f>
        <v>336.33148</v>
      </c>
    </row>
    <row r="28" spans="1:18">
      <c r="B28" s="1" t="s">
        <v>48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5">
        <f t="shared" si="0"/>
        <v>0</v>
      </c>
    </row>
    <row r="29" spans="1:18">
      <c r="B29" s="1" t="s">
        <v>49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5">
        <f t="shared" si="0"/>
        <v>0</v>
      </c>
    </row>
    <row r="30" spans="1:18">
      <c r="B30" s="1" t="s">
        <v>98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5">
        <f t="shared" si="0"/>
        <v>0</v>
      </c>
    </row>
    <row r="31" spans="1:18">
      <c r="B31" s="1" t="s">
        <v>101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5">
        <f t="shared" si="0"/>
        <v>0</v>
      </c>
    </row>
    <row r="32" spans="1:18">
      <c r="A32" s="7" t="s">
        <v>8</v>
      </c>
      <c r="B32" s="1" t="s">
        <v>52</v>
      </c>
    </row>
    <row r="33" spans="1:18">
      <c r="A33" s="7" t="s">
        <v>8</v>
      </c>
      <c r="C33" s="15">
        <f t="shared" ref="C33:O33" si="2">SUM(C8:C31)</f>
        <v>128011607</v>
      </c>
      <c r="D33" s="15">
        <f t="shared" si="2"/>
        <v>122123861</v>
      </c>
      <c r="E33" s="15">
        <f t="shared" si="2"/>
        <v>111084095</v>
      </c>
      <c r="F33" s="15">
        <f t="shared" si="2"/>
        <v>101574624</v>
      </c>
      <c r="G33" s="15">
        <f t="shared" si="2"/>
        <v>105553031</v>
      </c>
      <c r="H33" s="15">
        <f t="shared" si="2"/>
        <v>109402527</v>
      </c>
      <c r="I33" s="15">
        <f t="shared" si="2"/>
        <v>119742059</v>
      </c>
      <c r="J33" s="15">
        <f t="shared" si="2"/>
        <v>128016771</v>
      </c>
      <c r="K33" s="15">
        <f t="shared" si="2"/>
        <v>124563392</v>
      </c>
      <c r="L33" s="15">
        <f t="shared" si="2"/>
        <v>127350859</v>
      </c>
      <c r="M33" s="15">
        <f t="shared" si="2"/>
        <v>117269077</v>
      </c>
      <c r="N33" s="15">
        <f t="shared" si="2"/>
        <v>130597585</v>
      </c>
      <c r="O33" s="15">
        <f t="shared" si="2"/>
        <v>1425289488</v>
      </c>
    </row>
    <row r="34" spans="1:18">
      <c r="A34" s="7" t="s">
        <v>8</v>
      </c>
      <c r="B34" s="1" t="s">
        <v>55</v>
      </c>
    </row>
    <row r="35" spans="1:18">
      <c r="A35" s="7" t="s">
        <v>8</v>
      </c>
      <c r="C35" s="1">
        <v>200707</v>
      </c>
      <c r="D35" s="1">
        <v>200708</v>
      </c>
      <c r="E35" s="1">
        <f>D35+1</f>
        <v>200709</v>
      </c>
      <c r="F35" s="1">
        <f>E35+1</f>
        <v>200710</v>
      </c>
      <c r="G35" s="1">
        <f>F35+1</f>
        <v>200711</v>
      </c>
      <c r="H35" s="1">
        <f>G35+1</f>
        <v>200712</v>
      </c>
      <c r="I35" s="1">
        <v>200801</v>
      </c>
      <c r="J35" s="1">
        <f>I35+1</f>
        <v>200802</v>
      </c>
      <c r="K35" s="1">
        <f>J35+1</f>
        <v>200803</v>
      </c>
      <c r="L35" s="1">
        <f>K35+1</f>
        <v>200804</v>
      </c>
      <c r="M35" s="1">
        <f>L35+1</f>
        <v>200805</v>
      </c>
      <c r="N35" s="1">
        <f>M35+1</f>
        <v>200806</v>
      </c>
      <c r="O35" s="1" t="s">
        <v>54</v>
      </c>
      <c r="P35" s="19"/>
    </row>
    <row r="36" spans="1:18">
      <c r="A36" s="7">
        <v>24</v>
      </c>
      <c r="B36" s="1" t="s">
        <v>96</v>
      </c>
      <c r="C36" s="17">
        <v>245856</v>
      </c>
      <c r="D36" s="14">
        <v>237043</v>
      </c>
      <c r="E36" s="14">
        <v>190545</v>
      </c>
      <c r="F36" s="14">
        <v>164203</v>
      </c>
      <c r="G36" s="14">
        <v>178325</v>
      </c>
      <c r="H36" s="14">
        <v>215598</v>
      </c>
      <c r="I36" s="14">
        <v>293514</v>
      </c>
      <c r="J36" s="14">
        <v>307172</v>
      </c>
      <c r="K36" s="14">
        <v>526995</v>
      </c>
      <c r="L36" s="14">
        <v>447110</v>
      </c>
      <c r="M36" s="14">
        <v>227293</v>
      </c>
      <c r="N36" s="14">
        <v>220660</v>
      </c>
      <c r="O36" s="15">
        <f t="shared" ref="O36:O48" si="3">SUM(C36:N36)</f>
        <v>3254314</v>
      </c>
      <c r="P36" s="19">
        <v>1.24E-3</v>
      </c>
      <c r="R36" s="23">
        <f t="shared" ref="R36:R44" si="4">P36*O36</f>
        <v>4035.3493600000002</v>
      </c>
    </row>
    <row r="37" spans="1:18">
      <c r="A37" s="7" t="s">
        <v>82</v>
      </c>
      <c r="B37" s="1" t="s">
        <v>97</v>
      </c>
      <c r="C37" s="18">
        <v>96</v>
      </c>
      <c r="D37" s="4">
        <v>-84</v>
      </c>
      <c r="E37" s="4">
        <v>545</v>
      </c>
      <c r="F37" s="4">
        <v>1302</v>
      </c>
      <c r="G37" s="4">
        <v>150</v>
      </c>
      <c r="H37" s="4">
        <v>557</v>
      </c>
      <c r="I37" s="4">
        <v>1396</v>
      </c>
      <c r="J37" s="4">
        <v>33</v>
      </c>
      <c r="K37" s="4">
        <v>1826</v>
      </c>
      <c r="L37" s="4">
        <v>1074</v>
      </c>
      <c r="M37" s="4">
        <v>0</v>
      </c>
      <c r="N37" s="4">
        <v>34</v>
      </c>
      <c r="O37" s="15">
        <f t="shared" si="3"/>
        <v>6929</v>
      </c>
      <c r="P37" s="19">
        <v>1.24E-3</v>
      </c>
      <c r="R37" s="23">
        <f t="shared" si="4"/>
        <v>8.5919600000000003</v>
      </c>
    </row>
    <row r="38" spans="1:18">
      <c r="A38" s="7">
        <v>24</v>
      </c>
      <c r="B38" s="1" t="s">
        <v>36</v>
      </c>
      <c r="C38" s="18">
        <v>1909641</v>
      </c>
      <c r="D38" s="4">
        <v>1806944</v>
      </c>
      <c r="E38" s="4">
        <v>1549411</v>
      </c>
      <c r="F38" s="4">
        <v>1277233</v>
      </c>
      <c r="G38" s="4">
        <v>1348630</v>
      </c>
      <c r="H38" s="4">
        <v>1329979</v>
      </c>
      <c r="I38" s="4">
        <v>1795617</v>
      </c>
      <c r="J38" s="4">
        <v>1427677</v>
      </c>
      <c r="K38" s="4">
        <v>1355114</v>
      </c>
      <c r="L38" s="4">
        <v>1254624</v>
      </c>
      <c r="M38" s="4">
        <v>1247407</v>
      </c>
      <c r="N38" s="4">
        <v>1703611</v>
      </c>
      <c r="O38" s="15">
        <f t="shared" si="3"/>
        <v>18005888</v>
      </c>
      <c r="P38" s="19">
        <v>1.24E-3</v>
      </c>
      <c r="R38" s="23">
        <f t="shared" si="4"/>
        <v>22327.30112</v>
      </c>
    </row>
    <row r="39" spans="1:18">
      <c r="A39" s="7" t="s">
        <v>78</v>
      </c>
      <c r="B39" s="1" t="s">
        <v>37</v>
      </c>
      <c r="C39" s="18">
        <v>2776</v>
      </c>
      <c r="D39" s="4">
        <v>2776</v>
      </c>
      <c r="E39" s="4">
        <v>2776</v>
      </c>
      <c r="F39" s="4">
        <v>2776</v>
      </c>
      <c r="G39" s="4">
        <v>2776</v>
      </c>
      <c r="H39" s="4">
        <v>2776</v>
      </c>
      <c r="I39" s="4">
        <v>2776</v>
      </c>
      <c r="J39" s="4">
        <v>2776</v>
      </c>
      <c r="K39" s="4">
        <v>2776</v>
      </c>
      <c r="L39" s="4">
        <v>2776</v>
      </c>
      <c r="M39" s="4">
        <v>2776</v>
      </c>
      <c r="N39" s="4">
        <v>2776</v>
      </c>
      <c r="O39" s="15">
        <f t="shared" si="3"/>
        <v>33312</v>
      </c>
      <c r="P39" s="19">
        <v>1.24E-3</v>
      </c>
      <c r="R39" s="23">
        <f t="shared" si="4"/>
        <v>41.30688</v>
      </c>
    </row>
    <row r="40" spans="1:18">
      <c r="A40" s="7">
        <v>36</v>
      </c>
      <c r="B40" s="1" t="s">
        <v>106</v>
      </c>
      <c r="C40" s="18">
        <v>100640</v>
      </c>
      <c r="D40" s="4">
        <v>95384</v>
      </c>
      <c r="E40" s="4">
        <v>73480</v>
      </c>
      <c r="F40" s="4">
        <v>80320</v>
      </c>
      <c r="G40" s="4">
        <v>87200</v>
      </c>
      <c r="H40" s="4">
        <v>113520</v>
      </c>
      <c r="I40" s="4">
        <v>168842</v>
      </c>
      <c r="J40" s="4">
        <v>199560</v>
      </c>
      <c r="K40" s="4">
        <v>987400</v>
      </c>
      <c r="L40" s="4">
        <v>1570360</v>
      </c>
      <c r="M40" s="4">
        <v>249680</v>
      </c>
      <c r="N40" s="4">
        <v>149720</v>
      </c>
      <c r="O40" s="15">
        <f t="shared" si="3"/>
        <v>3876106</v>
      </c>
      <c r="P40" s="19">
        <v>1.0200000000000001E-3</v>
      </c>
      <c r="R40" s="23">
        <f t="shared" si="4"/>
        <v>3953.6281200000003</v>
      </c>
    </row>
    <row r="41" spans="1:18">
      <c r="A41" s="7" t="s">
        <v>81</v>
      </c>
      <c r="B41" s="1" t="s">
        <v>93</v>
      </c>
      <c r="C41" s="18"/>
      <c r="D41" s="4"/>
      <c r="E41" s="4"/>
      <c r="F41" s="4">
        <v>54000</v>
      </c>
      <c r="G41" s="4">
        <v>-54000</v>
      </c>
      <c r="H41" s="4"/>
      <c r="I41" s="4"/>
      <c r="J41" s="4"/>
      <c r="K41" s="4"/>
      <c r="L41" s="4"/>
      <c r="M41" s="4"/>
      <c r="N41" s="4"/>
      <c r="O41" s="15">
        <f t="shared" si="3"/>
        <v>0</v>
      </c>
      <c r="P41" s="19">
        <v>8.3000000000000001E-4</v>
      </c>
      <c r="R41" s="23">
        <f t="shared" si="4"/>
        <v>0</v>
      </c>
    </row>
    <row r="42" spans="1:18">
      <c r="A42" s="7">
        <v>36</v>
      </c>
      <c r="B42" s="1" t="s">
        <v>38</v>
      </c>
      <c r="C42" s="18">
        <v>10318300</v>
      </c>
      <c r="D42" s="4">
        <v>12442180</v>
      </c>
      <c r="E42" s="4">
        <v>11211240</v>
      </c>
      <c r="F42" s="4">
        <v>9636920</v>
      </c>
      <c r="G42" s="4">
        <v>10839840</v>
      </c>
      <c r="H42" s="4">
        <v>9171000</v>
      </c>
      <c r="I42" s="4">
        <v>10177875</v>
      </c>
      <c r="J42" s="4">
        <v>10771855</v>
      </c>
      <c r="K42" s="4">
        <v>11930134</v>
      </c>
      <c r="L42" s="4">
        <v>13859241</v>
      </c>
      <c r="M42" s="4">
        <v>14520180</v>
      </c>
      <c r="N42" s="4">
        <v>11750660</v>
      </c>
      <c r="O42" s="15">
        <f t="shared" si="3"/>
        <v>136629425</v>
      </c>
      <c r="P42" s="19">
        <v>1.0200000000000001E-3</v>
      </c>
      <c r="R42" s="23">
        <f t="shared" si="4"/>
        <v>139362.0135</v>
      </c>
    </row>
    <row r="43" spans="1:18">
      <c r="A43" s="7" t="s">
        <v>80</v>
      </c>
      <c r="B43" s="1" t="s">
        <v>56</v>
      </c>
      <c r="C43" s="16">
        <v>2948000</v>
      </c>
      <c r="D43" s="4">
        <v>2612000</v>
      </c>
      <c r="E43" s="4">
        <v>2349000</v>
      </c>
      <c r="F43" s="4">
        <v>2241000</v>
      </c>
      <c r="G43" s="4">
        <v>1942000</v>
      </c>
      <c r="H43" s="4">
        <v>1761000</v>
      </c>
      <c r="I43" s="4">
        <v>2096000</v>
      </c>
      <c r="J43" s="4">
        <v>2221000</v>
      </c>
      <c r="K43" s="4">
        <v>1602000</v>
      </c>
      <c r="L43" s="4">
        <v>1544000</v>
      </c>
      <c r="M43" s="4">
        <v>1868000</v>
      </c>
      <c r="N43" s="4">
        <v>2647000</v>
      </c>
      <c r="O43" s="15">
        <f t="shared" si="3"/>
        <v>25831000</v>
      </c>
      <c r="P43" s="19">
        <v>8.3000000000000001E-4</v>
      </c>
      <c r="R43" s="23">
        <f t="shared" si="4"/>
        <v>21439.73</v>
      </c>
    </row>
    <row r="44" spans="1:18">
      <c r="A44" s="7" t="s">
        <v>30</v>
      </c>
      <c r="B44" s="1" t="s">
        <v>39</v>
      </c>
      <c r="C44" s="16">
        <v>49783800</v>
      </c>
      <c r="D44" s="4">
        <v>59340000</v>
      </c>
      <c r="E44" s="4">
        <v>57320600</v>
      </c>
      <c r="F44" s="4">
        <v>54656650</v>
      </c>
      <c r="G44" s="4">
        <v>55667450</v>
      </c>
      <c r="H44" s="4">
        <v>40957550</v>
      </c>
      <c r="I44" s="4">
        <v>56388555</v>
      </c>
      <c r="J44" s="4">
        <v>61600850</v>
      </c>
      <c r="K44" s="4">
        <v>60175601</v>
      </c>
      <c r="L44" s="4">
        <v>57164750</v>
      </c>
      <c r="M44" s="4">
        <v>58007500</v>
      </c>
      <c r="N44" s="4">
        <v>63661250</v>
      </c>
      <c r="O44" s="15">
        <f t="shared" si="3"/>
        <v>674724556</v>
      </c>
      <c r="P44" s="19">
        <v>8.3000000000000001E-4</v>
      </c>
      <c r="R44" s="23">
        <f t="shared" si="4"/>
        <v>560021.38147999998</v>
      </c>
    </row>
    <row r="45" spans="1:18">
      <c r="B45" s="1" t="s">
        <v>40</v>
      </c>
      <c r="C45" s="16"/>
      <c r="D45" s="4"/>
      <c r="E45" s="4"/>
      <c r="F45" s="4"/>
      <c r="G45" s="4"/>
      <c r="H45" s="4"/>
      <c r="I45" s="4">
        <v>0</v>
      </c>
      <c r="J45" s="4">
        <v>0</v>
      </c>
      <c r="K45" s="4">
        <v>0</v>
      </c>
      <c r="L45" s="4"/>
      <c r="M45" s="4"/>
      <c r="N45" s="4"/>
      <c r="O45" s="15">
        <f t="shared" si="3"/>
        <v>0</v>
      </c>
    </row>
    <row r="46" spans="1:18">
      <c r="A46" s="7" t="s">
        <v>79</v>
      </c>
      <c r="B46" s="1" t="s">
        <v>46</v>
      </c>
      <c r="C46" s="16">
        <v>10756</v>
      </c>
      <c r="D46" s="4">
        <v>11243</v>
      </c>
      <c r="E46" s="4">
        <v>11348</v>
      </c>
      <c r="F46" s="4">
        <v>10494</v>
      </c>
      <c r="G46" s="4">
        <v>10714</v>
      </c>
      <c r="H46" s="4">
        <v>10392</v>
      </c>
      <c r="I46" s="4">
        <v>10322</v>
      </c>
      <c r="J46" s="4">
        <v>10317</v>
      </c>
      <c r="K46" s="4">
        <v>9746</v>
      </c>
      <c r="L46" s="4">
        <v>10468</v>
      </c>
      <c r="M46" s="4">
        <v>10361</v>
      </c>
      <c r="N46" s="4">
        <v>10770</v>
      </c>
      <c r="O46" s="15">
        <f t="shared" si="3"/>
        <v>126931</v>
      </c>
      <c r="P46" s="19">
        <v>1.09E-3</v>
      </c>
      <c r="R46" s="23">
        <f>P46*O46</f>
        <v>138.35479000000001</v>
      </c>
    </row>
    <row r="47" spans="1:18">
      <c r="A47" s="7" t="s">
        <v>79</v>
      </c>
      <c r="B47" s="1" t="s">
        <v>104</v>
      </c>
      <c r="C47" s="16">
        <v>2684</v>
      </c>
      <c r="D47" s="4">
        <v>2684</v>
      </c>
      <c r="E47" s="4">
        <v>2684</v>
      </c>
      <c r="F47" s="4">
        <v>2684</v>
      </c>
      <c r="G47" s="4">
        <v>2608</v>
      </c>
      <c r="H47" s="4">
        <v>2760</v>
      </c>
      <c r="I47" s="4">
        <v>2686</v>
      </c>
      <c r="J47" s="4">
        <v>2685</v>
      </c>
      <c r="K47" s="4">
        <v>2684</v>
      </c>
      <c r="L47" s="4">
        <v>2684</v>
      </c>
      <c r="M47" s="4">
        <v>2684</v>
      </c>
      <c r="N47" s="4">
        <v>2684</v>
      </c>
      <c r="O47" s="15">
        <f t="shared" si="3"/>
        <v>32211</v>
      </c>
      <c r="P47" s="19">
        <v>1.09E-3</v>
      </c>
      <c r="R47" s="23">
        <f>P47*O47</f>
        <v>35.109990000000003</v>
      </c>
    </row>
    <row r="48" spans="1:18">
      <c r="A48" s="7">
        <v>47</v>
      </c>
      <c r="B48" s="1" t="s">
        <v>57</v>
      </c>
      <c r="C48" s="16">
        <v>0</v>
      </c>
      <c r="D48" s="4">
        <v>420000</v>
      </c>
      <c r="E48" s="4">
        <v>0</v>
      </c>
      <c r="F48" s="4">
        <v>140000</v>
      </c>
      <c r="G48" s="4">
        <v>0</v>
      </c>
      <c r="H48" s="4">
        <v>140000</v>
      </c>
      <c r="I48" s="4">
        <v>140000</v>
      </c>
      <c r="J48" s="4">
        <v>140000</v>
      </c>
      <c r="K48" s="4">
        <v>140000</v>
      </c>
      <c r="L48" s="4">
        <v>140000</v>
      </c>
      <c r="M48" s="4">
        <v>140000</v>
      </c>
      <c r="N48" s="4">
        <v>140000</v>
      </c>
      <c r="O48" s="15">
        <f t="shared" si="3"/>
        <v>1540000</v>
      </c>
      <c r="P48" s="19">
        <v>8.3000000000000001E-4</v>
      </c>
      <c r="R48" s="23">
        <f>P48*O48</f>
        <v>1278.2</v>
      </c>
    </row>
    <row r="49" spans="1:18">
      <c r="A49" s="7" t="s">
        <v>8</v>
      </c>
      <c r="B49" s="1" t="s">
        <v>48</v>
      </c>
      <c r="C49" s="16"/>
      <c r="D49" s="4"/>
      <c r="E49" s="4"/>
      <c r="F49" s="4"/>
      <c r="G49" s="4"/>
      <c r="H49" s="4">
        <v>0</v>
      </c>
      <c r="I49" s="4"/>
      <c r="J49" s="4">
        <v>0</v>
      </c>
      <c r="K49" s="4"/>
      <c r="L49" s="4">
        <v>0</v>
      </c>
      <c r="M49" s="4"/>
      <c r="N49" s="4"/>
      <c r="O49" s="1">
        <v>0</v>
      </c>
    </row>
    <row r="50" spans="1:18">
      <c r="B50" s="1" t="s">
        <v>49</v>
      </c>
      <c r="C50" s="16"/>
      <c r="D50" s="4"/>
      <c r="E50" s="4"/>
      <c r="F50" s="4"/>
      <c r="G50" s="4"/>
      <c r="H50" s="4">
        <v>0</v>
      </c>
      <c r="I50" s="4"/>
      <c r="J50" s="4">
        <v>0</v>
      </c>
      <c r="K50" s="4"/>
      <c r="L50" s="4"/>
      <c r="M50" s="4"/>
      <c r="N50" s="4"/>
      <c r="O50" s="1">
        <v>0</v>
      </c>
    </row>
    <row r="51" spans="1:18">
      <c r="B51" s="1" t="s">
        <v>98</v>
      </c>
      <c r="C51" s="16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/>
      <c r="J51" s="4"/>
      <c r="K51" s="4"/>
      <c r="L51" s="4"/>
      <c r="M51" s="4"/>
      <c r="N51" s="4"/>
      <c r="O51" s="1">
        <v>0</v>
      </c>
    </row>
    <row r="52" spans="1:18">
      <c r="B52" s="1" t="s">
        <v>101</v>
      </c>
      <c r="C52" s="16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/>
      <c r="J52" s="4"/>
      <c r="K52" s="4"/>
      <c r="L52" s="4"/>
      <c r="M52" s="4"/>
      <c r="N52" s="4"/>
      <c r="O52" s="1">
        <v>0</v>
      </c>
    </row>
    <row r="53" spans="1:18">
      <c r="B53" s="1" t="s">
        <v>52</v>
      </c>
    </row>
    <row r="54" spans="1:18">
      <c r="C54" s="15">
        <f t="shared" ref="C54:O54" si="5">SUM(C36:C52)</f>
        <v>65322549</v>
      </c>
      <c r="D54" s="15">
        <f t="shared" si="5"/>
        <v>76970170</v>
      </c>
      <c r="E54" s="15">
        <f t="shared" si="5"/>
        <v>72711629</v>
      </c>
      <c r="F54" s="15">
        <f t="shared" si="5"/>
        <v>68267582</v>
      </c>
      <c r="G54" s="15">
        <f t="shared" si="5"/>
        <v>70025693</v>
      </c>
      <c r="H54" s="15">
        <f t="shared" si="5"/>
        <v>53705132</v>
      </c>
      <c r="I54" s="15">
        <f t="shared" si="5"/>
        <v>71077583</v>
      </c>
      <c r="J54" s="15">
        <f t="shared" si="5"/>
        <v>76683925</v>
      </c>
      <c r="K54" s="15">
        <f t="shared" si="5"/>
        <v>76734276</v>
      </c>
      <c r="L54" s="15">
        <f t="shared" si="5"/>
        <v>75997087</v>
      </c>
      <c r="M54" s="15">
        <f t="shared" si="5"/>
        <v>76275881</v>
      </c>
      <c r="N54" s="15">
        <f t="shared" si="5"/>
        <v>80289165</v>
      </c>
      <c r="O54" s="15">
        <f t="shared" si="5"/>
        <v>864060672</v>
      </c>
    </row>
    <row r="55" spans="1:18">
      <c r="B55" s="1" t="s">
        <v>58</v>
      </c>
    </row>
    <row r="56" spans="1:18">
      <c r="C56" s="1">
        <v>200707</v>
      </c>
      <c r="D56" s="1">
        <v>200708</v>
      </c>
      <c r="E56" s="1">
        <f>D56+1</f>
        <v>200709</v>
      </c>
      <c r="F56" s="1">
        <f>E56+1</f>
        <v>200710</v>
      </c>
      <c r="G56" s="1">
        <f>F56+1</f>
        <v>200711</v>
      </c>
      <c r="H56" s="1">
        <f>G56+1</f>
        <v>200712</v>
      </c>
      <c r="I56" s="1">
        <v>200801</v>
      </c>
      <c r="J56" s="1">
        <f>I56+1</f>
        <v>200802</v>
      </c>
      <c r="K56" s="1">
        <f>J56+1</f>
        <v>200803</v>
      </c>
      <c r="L56" s="1">
        <f>K56+1</f>
        <v>200804</v>
      </c>
      <c r="M56" s="1">
        <f>L56+1</f>
        <v>200805</v>
      </c>
      <c r="N56" s="1">
        <f>M56+1</f>
        <v>200806</v>
      </c>
      <c r="O56" s="1" t="s">
        <v>54</v>
      </c>
    </row>
    <row r="57" spans="1:18">
      <c r="A57" s="7">
        <v>40</v>
      </c>
      <c r="B57" s="1" t="s">
        <v>59</v>
      </c>
      <c r="C57" s="13">
        <v>124730</v>
      </c>
      <c r="D57" s="14">
        <v>162249</v>
      </c>
      <c r="E57" s="14">
        <v>1299080</v>
      </c>
      <c r="F57" s="14">
        <v>7016538</v>
      </c>
      <c r="G57" s="14">
        <v>14528558</v>
      </c>
      <c r="H57" s="14">
        <v>22434860</v>
      </c>
      <c r="I57" s="14">
        <v>27592080</v>
      </c>
      <c r="J57" s="14">
        <v>27861032</v>
      </c>
      <c r="K57" s="14">
        <v>22999788</v>
      </c>
      <c r="L57" s="14">
        <v>15185882</v>
      </c>
      <c r="M57" s="14">
        <v>4628381</v>
      </c>
      <c r="N57" s="14">
        <v>95256</v>
      </c>
      <c r="O57" s="15">
        <f t="shared" ref="O57:O68" si="6">SUM(C57:N57)</f>
        <v>143928434</v>
      </c>
      <c r="P57" s="19">
        <v>1.1299999999999999E-3</v>
      </c>
      <c r="R57" s="23">
        <f>P57*O57</f>
        <v>162639.13042</v>
      </c>
    </row>
    <row r="58" spans="1:18">
      <c r="A58" s="7" t="s">
        <v>83</v>
      </c>
      <c r="B58" s="1" t="s">
        <v>60</v>
      </c>
      <c r="C58" s="16">
        <v>102459</v>
      </c>
      <c r="D58" s="4">
        <v>42286</v>
      </c>
      <c r="E58" s="4">
        <v>64181</v>
      </c>
      <c r="F58" s="4">
        <v>1216993</v>
      </c>
      <c r="G58" s="4">
        <v>2153761</v>
      </c>
      <c r="H58" s="4">
        <v>2795376</v>
      </c>
      <c r="I58" s="4">
        <v>3573149</v>
      </c>
      <c r="J58" s="4">
        <v>4095509</v>
      </c>
      <c r="K58" s="4">
        <v>3017180</v>
      </c>
      <c r="L58" s="4">
        <v>2319141</v>
      </c>
      <c r="M58" s="4">
        <v>828689</v>
      </c>
      <c r="N58" s="4">
        <v>45789</v>
      </c>
      <c r="O58" s="15">
        <f t="shared" si="6"/>
        <v>20254513</v>
      </c>
      <c r="P58" s="19">
        <v>1.1299999999999999E-3</v>
      </c>
      <c r="R58" s="23">
        <f>P58*O58</f>
        <v>22887.599689999999</v>
      </c>
    </row>
    <row r="59" spans="1:18">
      <c r="B59" s="1" t="s">
        <v>40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5">
        <f t="shared" si="6"/>
        <v>0</v>
      </c>
    </row>
    <row r="60" spans="1:18">
      <c r="B60" s="1" t="s">
        <v>41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5">
        <f t="shared" si="6"/>
        <v>0</v>
      </c>
    </row>
    <row r="61" spans="1:18">
      <c r="A61" s="7" t="s">
        <v>8</v>
      </c>
      <c r="B61" s="1" t="s">
        <v>42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5">
        <f t="shared" si="6"/>
        <v>0</v>
      </c>
    </row>
    <row r="62" spans="1:18">
      <c r="A62" s="7" t="s">
        <v>8</v>
      </c>
      <c r="B62" s="1" t="s">
        <v>43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5">
        <f t="shared" si="6"/>
        <v>0</v>
      </c>
    </row>
    <row r="63" spans="1:18">
      <c r="A63" s="7" t="s">
        <v>8</v>
      </c>
      <c r="B63" s="1" t="s">
        <v>44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5">
        <f t="shared" si="6"/>
        <v>0</v>
      </c>
    </row>
    <row r="64" spans="1:18">
      <c r="B64" s="8" t="s">
        <v>112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5">
        <f t="shared" si="6"/>
        <v>0</v>
      </c>
    </row>
    <row r="65" spans="1:18">
      <c r="B65" s="8" t="s">
        <v>113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5">
        <f t="shared" si="6"/>
        <v>0</v>
      </c>
    </row>
    <row r="66" spans="1:18">
      <c r="A66" s="7" t="s">
        <v>8</v>
      </c>
      <c r="B66" s="1" t="s">
        <v>48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5">
        <f t="shared" si="6"/>
        <v>0</v>
      </c>
    </row>
    <row r="67" spans="1:18">
      <c r="A67" s="7" t="s">
        <v>8</v>
      </c>
      <c r="B67" s="1" t="s">
        <v>49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5">
        <f t="shared" si="6"/>
        <v>0</v>
      </c>
    </row>
    <row r="68" spans="1:18">
      <c r="A68" s="7" t="s">
        <v>8</v>
      </c>
      <c r="B68" s="1" t="s">
        <v>61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5">
        <f t="shared" si="6"/>
        <v>0</v>
      </c>
    </row>
    <row r="69" spans="1:18">
      <c r="C69" s="15">
        <f>SUM(C57:C68)</f>
        <v>227189</v>
      </c>
      <c r="D69" s="15">
        <v>197601</v>
      </c>
      <c r="E69" s="15">
        <v>775917</v>
      </c>
      <c r="F69" s="15">
        <v>9268537</v>
      </c>
      <c r="G69" s="15">
        <f>SUM(C69:F69)</f>
        <v>10469244</v>
      </c>
      <c r="H69" s="15">
        <v>13670831</v>
      </c>
      <c r="I69" s="15">
        <v>27350041</v>
      </c>
      <c r="J69" s="15">
        <v>33739633</v>
      </c>
      <c r="K69" s="15">
        <v>28176106</v>
      </c>
      <c r="L69" s="15">
        <v>17440142</v>
      </c>
      <c r="M69" s="15">
        <v>6008504</v>
      </c>
      <c r="N69" s="15">
        <v>295653</v>
      </c>
      <c r="O69" s="15">
        <f>SUM(O57:O68)</f>
        <v>164182947</v>
      </c>
    </row>
    <row r="70" spans="1:18">
      <c r="B70" s="1" t="s">
        <v>65</v>
      </c>
    </row>
    <row r="71" spans="1:18">
      <c r="C71" s="1">
        <v>200707</v>
      </c>
      <c r="D71" s="1">
        <v>200708</v>
      </c>
      <c r="E71" s="1">
        <f>D71+1</f>
        <v>200709</v>
      </c>
      <c r="F71" s="1">
        <f>E71+1</f>
        <v>200710</v>
      </c>
      <c r="G71" s="1">
        <f>F71+1</f>
        <v>200711</v>
      </c>
      <c r="H71" s="1">
        <f>G71+1</f>
        <v>200712</v>
      </c>
      <c r="I71" s="1">
        <v>200801</v>
      </c>
      <c r="J71" s="1">
        <f>I71+1</f>
        <v>200802</v>
      </c>
      <c r="K71" s="1">
        <f>J71+1</f>
        <v>200803</v>
      </c>
      <c r="L71" s="1">
        <f>K71+1</f>
        <v>200804</v>
      </c>
      <c r="M71" s="1">
        <f>L71+1</f>
        <v>200805</v>
      </c>
      <c r="N71" s="1">
        <f>M71+1</f>
        <v>200806</v>
      </c>
      <c r="O71" s="1" t="s">
        <v>54</v>
      </c>
    </row>
    <row r="72" spans="1:18">
      <c r="B72" s="1" t="s">
        <v>66</v>
      </c>
      <c r="C72" s="13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4">
        <f t="shared" ref="O72:O77" si="7">SUM(C72:N72)</f>
        <v>0</v>
      </c>
    </row>
    <row r="73" spans="1:18">
      <c r="A73" s="7">
        <v>52</v>
      </c>
      <c r="B73" s="1" t="s">
        <v>67</v>
      </c>
      <c r="C73" s="16">
        <v>39116</v>
      </c>
      <c r="D73" s="4">
        <v>39034</v>
      </c>
      <c r="E73" s="4">
        <v>37272</v>
      </c>
      <c r="F73" s="4">
        <v>37252</v>
      </c>
      <c r="G73" s="4">
        <v>37208</v>
      </c>
      <c r="H73" s="4">
        <v>37208</v>
      </c>
      <c r="I73" s="4">
        <v>37678</v>
      </c>
      <c r="J73" s="4">
        <v>37814</v>
      </c>
      <c r="K73" s="4">
        <v>37522</v>
      </c>
      <c r="L73" s="4">
        <v>37522</v>
      </c>
      <c r="M73" s="4">
        <v>37522</v>
      </c>
      <c r="N73" s="4">
        <v>37478</v>
      </c>
      <c r="O73" s="4">
        <f t="shared" si="7"/>
        <v>452626</v>
      </c>
      <c r="P73" s="19">
        <v>1.09E-3</v>
      </c>
      <c r="R73" s="23">
        <f>P73*O73</f>
        <v>493.36234000000002</v>
      </c>
    </row>
    <row r="74" spans="1:18">
      <c r="A74" s="7" t="s">
        <v>84</v>
      </c>
      <c r="B74" s="1" t="s">
        <v>68</v>
      </c>
      <c r="C74" s="16">
        <v>276471</v>
      </c>
      <c r="D74" s="4">
        <v>290547</v>
      </c>
      <c r="E74" s="4">
        <v>288752</v>
      </c>
      <c r="F74" s="4">
        <v>285340</v>
      </c>
      <c r="G74" s="4">
        <v>286822</v>
      </c>
      <c r="H74" s="4">
        <v>286785</v>
      </c>
      <c r="I74" s="4">
        <v>289392</v>
      </c>
      <c r="J74" s="4">
        <v>288158</v>
      </c>
      <c r="K74" s="4">
        <v>278871</v>
      </c>
      <c r="L74" s="4">
        <v>296043</v>
      </c>
      <c r="M74" s="4">
        <v>274250</v>
      </c>
      <c r="N74" s="4">
        <v>291719</v>
      </c>
      <c r="O74" s="4">
        <f t="shared" si="7"/>
        <v>3433150</v>
      </c>
      <c r="P74" s="19">
        <v>1.09E-3</v>
      </c>
      <c r="R74" s="23">
        <f>P74*O74</f>
        <v>3742.1334999999999</v>
      </c>
    </row>
    <row r="75" spans="1:18">
      <c r="A75" s="7" t="s">
        <v>85</v>
      </c>
      <c r="B75" s="1" t="s">
        <v>69</v>
      </c>
      <c r="C75" s="16">
        <v>107921</v>
      </c>
      <c r="D75" s="4">
        <v>113134</v>
      </c>
      <c r="E75" s="4">
        <v>93288</v>
      </c>
      <c r="F75" s="4">
        <v>78692</v>
      </c>
      <c r="G75" s="4">
        <v>73504</v>
      </c>
      <c r="H75" s="4">
        <v>67123</v>
      </c>
      <c r="I75" s="4">
        <v>59224</v>
      </c>
      <c r="J75" s="4">
        <v>66326</v>
      </c>
      <c r="K75" s="4">
        <v>68501</v>
      </c>
      <c r="L75" s="4">
        <v>91363</v>
      </c>
      <c r="M75" s="4">
        <v>83603</v>
      </c>
      <c r="N75" s="4">
        <v>115636</v>
      </c>
      <c r="O75" s="4">
        <f t="shared" si="7"/>
        <v>1018315</v>
      </c>
      <c r="P75" s="19">
        <v>1.09E-3</v>
      </c>
      <c r="R75" s="23">
        <f>P75*O75</f>
        <v>1109.96335</v>
      </c>
    </row>
    <row r="76" spans="1:18">
      <c r="A76" s="7">
        <v>51</v>
      </c>
      <c r="B76" s="1" t="s">
        <v>70</v>
      </c>
      <c r="C76" s="16">
        <v>261534</v>
      </c>
      <c r="D76" s="4">
        <v>236821</v>
      </c>
      <c r="E76" s="4">
        <v>217887</v>
      </c>
      <c r="F76" s="4">
        <v>244442</v>
      </c>
      <c r="G76" s="4">
        <v>270529</v>
      </c>
      <c r="H76" s="4">
        <v>244741</v>
      </c>
      <c r="I76" s="4">
        <v>245152</v>
      </c>
      <c r="J76" s="4">
        <v>248212</v>
      </c>
      <c r="K76" s="4">
        <v>221114</v>
      </c>
      <c r="L76" s="4">
        <v>247975</v>
      </c>
      <c r="M76" s="4">
        <v>246781</v>
      </c>
      <c r="N76" s="4">
        <v>248442</v>
      </c>
      <c r="O76" s="4">
        <f t="shared" si="7"/>
        <v>2933630</v>
      </c>
      <c r="P76" s="19">
        <v>1.09E-3</v>
      </c>
      <c r="R76" s="23">
        <f>P76*O76</f>
        <v>3197.6567</v>
      </c>
    </row>
    <row r="77" spans="1:18">
      <c r="A77" s="7">
        <v>57</v>
      </c>
      <c r="B77" s="1" t="s">
        <v>71</v>
      </c>
      <c r="C77" s="16">
        <v>177159</v>
      </c>
      <c r="D77" s="4">
        <v>174004</v>
      </c>
      <c r="E77" s="4">
        <v>171585</v>
      </c>
      <c r="F77" s="4">
        <v>171220</v>
      </c>
      <c r="G77" s="4">
        <v>172424</v>
      </c>
      <c r="H77" s="4">
        <v>170016</v>
      </c>
      <c r="I77" s="4">
        <v>173034</v>
      </c>
      <c r="J77" s="4">
        <v>170420</v>
      </c>
      <c r="K77" s="4">
        <v>168890</v>
      </c>
      <c r="L77" s="4">
        <v>170578</v>
      </c>
      <c r="M77" s="4">
        <v>169577</v>
      </c>
      <c r="N77" s="4">
        <v>170320</v>
      </c>
      <c r="O77" s="4">
        <f t="shared" si="7"/>
        <v>2059227</v>
      </c>
      <c r="P77" s="19">
        <v>1.09E-3</v>
      </c>
      <c r="R77" s="23">
        <f>P77*O77</f>
        <v>2244.5574300000003</v>
      </c>
    </row>
    <row r="78" spans="1:18">
      <c r="B78" s="1" t="s">
        <v>48</v>
      </c>
      <c r="C78" s="16"/>
      <c r="D78" s="4"/>
      <c r="E78" s="4"/>
      <c r="F78" s="4"/>
      <c r="G78" s="4"/>
      <c r="H78" s="4"/>
      <c r="I78" s="4"/>
      <c r="J78" s="4"/>
      <c r="K78" s="4"/>
      <c r="L78" s="4">
        <v>0</v>
      </c>
      <c r="M78" s="4"/>
      <c r="N78" s="4"/>
      <c r="O78" s="15"/>
      <c r="P78" s="19"/>
      <c r="R78" s="23"/>
    </row>
    <row r="79" spans="1:18">
      <c r="B79" s="1" t="s">
        <v>49</v>
      </c>
      <c r="C79" s="16"/>
      <c r="D79" s="4">
        <v>0</v>
      </c>
      <c r="E79" s="4"/>
      <c r="F79" s="4"/>
      <c r="G79" s="4"/>
      <c r="H79" s="4"/>
      <c r="I79" s="4"/>
      <c r="J79" s="4"/>
      <c r="K79" s="4"/>
      <c r="L79" s="4">
        <v>0</v>
      </c>
      <c r="M79" s="4"/>
      <c r="N79" s="4"/>
      <c r="O79" s="15"/>
      <c r="P79" s="19"/>
      <c r="R79" s="23"/>
    </row>
    <row r="80" spans="1:18">
      <c r="A80" s="7" t="s">
        <v>8</v>
      </c>
      <c r="B80" s="1" t="s">
        <v>52</v>
      </c>
      <c r="C80" s="16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</row>
    <row r="81" spans="1:18">
      <c r="A81" s="7" t="s">
        <v>8</v>
      </c>
      <c r="C81" s="15">
        <f t="shared" ref="C81:O81" si="8">SUM(C72:C80)</f>
        <v>862201</v>
      </c>
      <c r="D81" s="15">
        <f t="shared" si="8"/>
        <v>853540</v>
      </c>
      <c r="E81" s="15">
        <f t="shared" si="8"/>
        <v>808784</v>
      </c>
      <c r="F81" s="15">
        <f t="shared" si="8"/>
        <v>816946</v>
      </c>
      <c r="G81" s="15">
        <f t="shared" si="8"/>
        <v>840487</v>
      </c>
      <c r="H81" s="15">
        <f t="shared" si="8"/>
        <v>805873</v>
      </c>
      <c r="I81" s="15">
        <f t="shared" si="8"/>
        <v>804480</v>
      </c>
      <c r="J81" s="15">
        <f t="shared" si="8"/>
        <v>810930</v>
      </c>
      <c r="K81" s="15">
        <f t="shared" si="8"/>
        <v>774898</v>
      </c>
      <c r="L81" s="15">
        <f t="shared" si="8"/>
        <v>843481</v>
      </c>
      <c r="M81" s="15">
        <f t="shared" si="8"/>
        <v>811733</v>
      </c>
      <c r="N81" s="15">
        <f t="shared" si="8"/>
        <v>863595</v>
      </c>
      <c r="O81" s="15">
        <f t="shared" si="8"/>
        <v>9896948</v>
      </c>
    </row>
    <row r="82" spans="1:18">
      <c r="A82" s="7" t="s">
        <v>8</v>
      </c>
      <c r="B82" s="1" t="s">
        <v>72</v>
      </c>
    </row>
    <row r="83" spans="1:18">
      <c r="A83" s="7" t="s">
        <v>8</v>
      </c>
      <c r="C83" s="1">
        <v>200707</v>
      </c>
      <c r="D83" s="1">
        <v>200708</v>
      </c>
      <c r="E83" s="1">
        <f>D83+1</f>
        <v>200709</v>
      </c>
      <c r="F83" s="1">
        <f>E83+1</f>
        <v>200710</v>
      </c>
      <c r="G83" s="1">
        <f>F83+1</f>
        <v>200711</v>
      </c>
      <c r="H83" s="1">
        <f>G83+1</f>
        <v>200712</v>
      </c>
      <c r="I83" s="1">
        <v>200801</v>
      </c>
      <c r="J83" s="1">
        <f>I83+1</f>
        <v>200802</v>
      </c>
      <c r="K83" s="1">
        <f>J83+1</f>
        <v>200803</v>
      </c>
      <c r="L83" s="1">
        <f>K83+1</f>
        <v>200804</v>
      </c>
      <c r="M83" s="1">
        <f>L83+1</f>
        <v>200805</v>
      </c>
      <c r="N83" s="1">
        <f>M83+1</f>
        <v>200806</v>
      </c>
      <c r="O83" s="1" t="s">
        <v>54</v>
      </c>
    </row>
    <row r="84" spans="1:18">
      <c r="B84" s="24" t="s">
        <v>114</v>
      </c>
      <c r="C84" s="13"/>
      <c r="D84" s="14"/>
      <c r="E84" s="14"/>
      <c r="F84" s="14"/>
      <c r="G84" s="14"/>
      <c r="H84" s="14"/>
      <c r="I84" s="14"/>
      <c r="J84" s="14">
        <v>0</v>
      </c>
      <c r="K84" s="14"/>
      <c r="L84" s="14"/>
      <c r="M84" s="14">
        <v>0</v>
      </c>
      <c r="N84" s="14"/>
      <c r="O84" s="4">
        <f t="shared" ref="O84:O95" si="9">SUM(C84:N84)</f>
        <v>0</v>
      </c>
    </row>
    <row r="85" spans="1:18">
      <c r="A85" s="7" t="s">
        <v>8</v>
      </c>
      <c r="B85" s="1" t="s">
        <v>43</v>
      </c>
      <c r="C85" s="16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f t="shared" si="9"/>
        <v>0</v>
      </c>
    </row>
    <row r="86" spans="1:18">
      <c r="A86" s="7" t="s">
        <v>86</v>
      </c>
      <c r="B86" s="1" t="s">
        <v>107</v>
      </c>
      <c r="C86" s="16">
        <v>96033</v>
      </c>
      <c r="D86" s="4">
        <v>102581</v>
      </c>
      <c r="E86" s="4">
        <v>98161</v>
      </c>
      <c r="F86" s="4">
        <v>96801</v>
      </c>
      <c r="G86" s="4">
        <v>101713</v>
      </c>
      <c r="H86" s="4">
        <v>97522</v>
      </c>
      <c r="I86" s="4">
        <v>98076</v>
      </c>
      <c r="J86" s="4">
        <v>97431</v>
      </c>
      <c r="K86" s="4">
        <v>94196</v>
      </c>
      <c r="L86" s="4">
        <v>97685</v>
      </c>
      <c r="M86" s="4">
        <v>96036</v>
      </c>
      <c r="N86" s="4">
        <v>96187</v>
      </c>
      <c r="O86" s="4">
        <f t="shared" si="9"/>
        <v>1172422</v>
      </c>
      <c r="P86" s="19">
        <v>1.09E-3</v>
      </c>
      <c r="R86" s="23">
        <f>P86*O86</f>
        <v>1277.9399800000001</v>
      </c>
    </row>
    <row r="87" spans="1:18">
      <c r="A87" s="7">
        <v>16</v>
      </c>
      <c r="B87" s="1" t="s">
        <v>73</v>
      </c>
      <c r="C87" s="16">
        <v>208728854</v>
      </c>
      <c r="D87" s="4">
        <v>192294557</v>
      </c>
      <c r="E87" s="4">
        <v>139201527</v>
      </c>
      <c r="F87" s="4">
        <v>110523128</v>
      </c>
      <c r="G87" s="4">
        <v>97501475</v>
      </c>
      <c r="H87" s="4">
        <v>94591910</v>
      </c>
      <c r="I87" s="4">
        <v>114063547</v>
      </c>
      <c r="J87" s="4">
        <v>121993355</v>
      </c>
      <c r="K87" s="4">
        <v>102349329</v>
      </c>
      <c r="L87" s="4">
        <v>93719602</v>
      </c>
      <c r="M87" s="4">
        <v>122711460</v>
      </c>
      <c r="N87" s="4">
        <v>181663338</v>
      </c>
      <c r="O87" s="4">
        <f t="shared" si="9"/>
        <v>1579342082</v>
      </c>
      <c r="P87" s="19">
        <v>1.2199999999999999E-3</v>
      </c>
      <c r="R87" s="23">
        <f>P87*O87</f>
        <v>1926797.3400399999</v>
      </c>
    </row>
    <row r="88" spans="1:18">
      <c r="A88" s="7">
        <v>17</v>
      </c>
      <c r="B88" s="1" t="s">
        <v>74</v>
      </c>
      <c r="C88" s="16">
        <v>6943483</v>
      </c>
      <c r="D88" s="4">
        <v>6819158</v>
      </c>
      <c r="E88" s="4">
        <v>5017558</v>
      </c>
      <c r="F88" s="4">
        <v>3565575</v>
      </c>
      <c r="G88" s="4">
        <v>2801635</v>
      </c>
      <c r="H88" s="4">
        <v>2210918</v>
      </c>
      <c r="I88" s="4">
        <v>2418611</v>
      </c>
      <c r="J88" s="4">
        <v>2445134</v>
      </c>
      <c r="K88" s="4">
        <v>1554422</v>
      </c>
      <c r="L88" s="4">
        <v>1767989</v>
      </c>
      <c r="M88" s="4">
        <v>3674873</v>
      </c>
      <c r="N88" s="4">
        <v>6622568</v>
      </c>
      <c r="O88" s="4">
        <f t="shared" si="9"/>
        <v>45841924</v>
      </c>
      <c r="P88" s="19">
        <v>1.2199999999999999E-3</v>
      </c>
      <c r="R88" s="23">
        <f>P88*O88</f>
        <v>55927.147279999997</v>
      </c>
    </row>
    <row r="89" spans="1:18">
      <c r="A89" s="7">
        <v>18</v>
      </c>
      <c r="B89" s="1" t="s">
        <v>76</v>
      </c>
      <c r="C89" s="16">
        <v>277527</v>
      </c>
      <c r="D89" s="4">
        <v>282459</v>
      </c>
      <c r="E89" s="4">
        <v>220886</v>
      </c>
      <c r="F89" s="4">
        <v>205763</v>
      </c>
      <c r="G89" s="4">
        <v>191937</v>
      </c>
      <c r="H89" s="4">
        <v>205945</v>
      </c>
      <c r="I89" s="4">
        <v>247950</v>
      </c>
      <c r="J89" s="4">
        <v>250179</v>
      </c>
      <c r="K89" s="4">
        <v>213978</v>
      </c>
      <c r="L89" s="4">
        <v>188874</v>
      </c>
      <c r="M89" s="4">
        <v>201556</v>
      </c>
      <c r="N89" s="4">
        <v>257499</v>
      </c>
      <c r="O89" s="4">
        <f t="shared" si="9"/>
        <v>2744553</v>
      </c>
      <c r="P89" s="19">
        <v>1.2199999999999999E-3</v>
      </c>
      <c r="R89" s="23">
        <f>P89*O89</f>
        <v>3348.35466</v>
      </c>
    </row>
    <row r="90" spans="1:18">
      <c r="A90" s="7" t="s">
        <v>87</v>
      </c>
      <c r="B90" s="1" t="s">
        <v>77</v>
      </c>
      <c r="C90" s="16">
        <v>79539</v>
      </c>
      <c r="D90" s="4">
        <v>71861</v>
      </c>
      <c r="E90" s="4">
        <v>65956</v>
      </c>
      <c r="F90" s="4">
        <v>53835</v>
      </c>
      <c r="G90" s="4">
        <v>58265</v>
      </c>
      <c r="H90" s="4">
        <v>42371</v>
      </c>
      <c r="I90" s="4">
        <v>68542</v>
      </c>
      <c r="J90" s="4">
        <v>68348</v>
      </c>
      <c r="K90" s="4">
        <v>54179</v>
      </c>
      <c r="L90" s="4">
        <v>40639</v>
      </c>
      <c r="M90" s="4">
        <v>47570</v>
      </c>
      <c r="N90" s="4">
        <v>58886</v>
      </c>
      <c r="O90" s="4">
        <f t="shared" si="9"/>
        <v>709991</v>
      </c>
      <c r="P90" s="19">
        <v>1.2199999999999999E-3</v>
      </c>
      <c r="R90" s="23">
        <f>P90*O90</f>
        <v>866.18901999999991</v>
      </c>
    </row>
    <row r="91" spans="1:18">
      <c r="B91" s="1" t="s">
        <v>48</v>
      </c>
      <c r="C91" s="16">
        <v>0</v>
      </c>
      <c r="D91" s="4">
        <v>0</v>
      </c>
      <c r="E91" s="4">
        <v>0</v>
      </c>
      <c r="F91" s="4"/>
      <c r="G91" s="4"/>
      <c r="H91" s="4"/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f t="shared" si="9"/>
        <v>0</v>
      </c>
    </row>
    <row r="92" spans="1:18">
      <c r="B92" s="1" t="s">
        <v>49</v>
      </c>
      <c r="C92" s="16"/>
      <c r="D92" s="4"/>
      <c r="E92" s="4">
        <v>0</v>
      </c>
      <c r="F92" s="4">
        <v>0</v>
      </c>
      <c r="G92" s="4"/>
      <c r="H92" s="4"/>
      <c r="I92" s="4"/>
      <c r="J92" s="4"/>
      <c r="K92" s="4">
        <v>0</v>
      </c>
      <c r="L92" s="4">
        <v>0</v>
      </c>
      <c r="M92" s="4"/>
      <c r="N92" s="4"/>
      <c r="O92" s="4">
        <f t="shared" si="9"/>
        <v>0</v>
      </c>
    </row>
    <row r="93" spans="1:18">
      <c r="B93" s="1" t="s">
        <v>94</v>
      </c>
      <c r="C93" s="16">
        <v>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>
        <f t="shared" si="9"/>
        <v>0</v>
      </c>
    </row>
    <row r="94" spans="1:18">
      <c r="B94" s="1" t="s">
        <v>98</v>
      </c>
      <c r="C94" s="16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/>
      <c r="J94" s="4"/>
      <c r="K94" s="4"/>
      <c r="L94" s="4"/>
      <c r="M94" s="4"/>
      <c r="N94" s="4"/>
      <c r="O94" s="4">
        <f t="shared" si="9"/>
        <v>0</v>
      </c>
    </row>
    <row r="95" spans="1:18">
      <c r="B95" s="1" t="s">
        <v>101</v>
      </c>
      <c r="C95" s="16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/>
      <c r="J95" s="4"/>
      <c r="K95" s="4"/>
      <c r="L95" s="4"/>
      <c r="M95" s="4"/>
      <c r="N95" s="4"/>
      <c r="O95" s="4">
        <f t="shared" si="9"/>
        <v>0</v>
      </c>
    </row>
    <row r="96" spans="1:18">
      <c r="B96" s="1" t="s">
        <v>52</v>
      </c>
    </row>
    <row r="97" spans="3:18">
      <c r="C97" s="15">
        <f t="shared" ref="C97:O97" si="10">SUM(C84:C95)</f>
        <v>216125436</v>
      </c>
      <c r="D97" s="15">
        <f t="shared" si="10"/>
        <v>199570616</v>
      </c>
      <c r="E97" s="15">
        <f t="shared" si="10"/>
        <v>144604088</v>
      </c>
      <c r="F97" s="15">
        <f t="shared" si="10"/>
        <v>114445102</v>
      </c>
      <c r="G97" s="15">
        <f t="shared" si="10"/>
        <v>100655025</v>
      </c>
      <c r="H97" s="15">
        <f t="shared" si="10"/>
        <v>97148666</v>
      </c>
      <c r="I97" s="15">
        <f t="shared" si="10"/>
        <v>116896726</v>
      </c>
      <c r="J97" s="15">
        <f t="shared" si="10"/>
        <v>124854447</v>
      </c>
      <c r="K97" s="15">
        <f t="shared" si="10"/>
        <v>104266104</v>
      </c>
      <c r="L97" s="15">
        <f t="shared" si="10"/>
        <v>95814789</v>
      </c>
      <c r="M97" s="15">
        <f t="shared" si="10"/>
        <v>126731495</v>
      </c>
      <c r="N97" s="15">
        <f t="shared" si="10"/>
        <v>188698478</v>
      </c>
      <c r="O97" s="15">
        <f t="shared" si="10"/>
        <v>1629810972</v>
      </c>
      <c r="R97" s="23">
        <f>SUM(R8:R96)</f>
        <v>4474033.4386200001</v>
      </c>
    </row>
    <row r="99" spans="3:18">
      <c r="O99" s="15">
        <f>O97+O81+O69+O54+O33</f>
        <v>4093241027</v>
      </c>
    </row>
  </sheetData>
  <phoneticPr fontId="2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H54"/>
  <sheetViews>
    <sheetView zoomScale="85" zoomScaleNormal="85" workbookViewId="0">
      <selection activeCell="H9" sqref="H9"/>
    </sheetView>
  </sheetViews>
  <sheetFormatPr defaultColWidth="9" defaultRowHeight="15.75"/>
  <cols>
    <col min="1" max="1" width="9" style="26"/>
    <col min="2" max="2" width="40.375" style="2" customWidth="1"/>
    <col min="3" max="3" width="14.625" style="2" customWidth="1"/>
    <col min="4" max="4" width="10.5" style="2" bestFit="1" customWidth="1"/>
    <col min="5" max="5" width="2.25" style="2" customWidth="1"/>
    <col min="6" max="6" width="14.375" style="2" bestFit="1" customWidth="1"/>
    <col min="7" max="7" width="9" style="2"/>
    <col min="8" max="8" width="12.375" style="2" bestFit="1" customWidth="1"/>
    <col min="9" max="16384" width="9" style="2"/>
  </cols>
  <sheetData>
    <row r="2" spans="1:8">
      <c r="A2" s="21" t="e">
        <f>#REF!</f>
        <v>#REF!</v>
      </c>
      <c r="B2" s="21"/>
    </row>
    <row r="3" spans="1:8">
      <c r="A3" s="21" t="e">
        <f>#REF!</f>
        <v>#REF!</v>
      </c>
      <c r="B3" s="21"/>
    </row>
    <row r="4" spans="1:8">
      <c r="A4" s="21" t="e">
        <f>#REF!</f>
        <v>#REF!</v>
      </c>
      <c r="B4" s="21"/>
      <c r="F4" s="27"/>
    </row>
    <row r="5" spans="1:8">
      <c r="A5" s="34"/>
      <c r="B5" s="38"/>
      <c r="C5" s="3"/>
      <c r="D5" s="3"/>
    </row>
    <row r="6" spans="1:8">
      <c r="A6" s="34"/>
      <c r="B6" s="3" t="s">
        <v>35</v>
      </c>
      <c r="C6" s="3"/>
      <c r="D6" s="39"/>
      <c r="F6" s="29" t="s">
        <v>2</v>
      </c>
      <c r="H6" s="2" t="s">
        <v>151</v>
      </c>
    </row>
    <row r="7" spans="1:8">
      <c r="A7" s="34"/>
      <c r="B7" s="3"/>
      <c r="C7" s="3" t="s">
        <v>109</v>
      </c>
      <c r="D7" s="39" t="s">
        <v>135</v>
      </c>
      <c r="F7" s="29" t="s">
        <v>0</v>
      </c>
      <c r="H7" s="30" t="s">
        <v>116</v>
      </c>
    </row>
    <row r="8" spans="1:8">
      <c r="A8" s="34">
        <v>24</v>
      </c>
      <c r="B8" s="36" t="s">
        <v>14</v>
      </c>
      <c r="C8" s="6" t="e">
        <f>SUMIF(#REF!,'Hydro Deferral'!A8,#REF!)</f>
        <v>#REF!</v>
      </c>
      <c r="D8" s="40">
        <v>5.5000000000000003E-4</v>
      </c>
      <c r="F8" s="28" t="e">
        <f>C8*D8*$H$8/366</f>
        <v>#REF!</v>
      </c>
      <c r="H8" s="47">
        <v>351</v>
      </c>
    </row>
    <row r="9" spans="1:8">
      <c r="A9" s="34" t="s">
        <v>78</v>
      </c>
      <c r="B9" s="36" t="s">
        <v>15</v>
      </c>
      <c r="C9" s="6" t="e">
        <f>SUMIF(#REF!,'Hydro Deferral'!A9,#REF!)</f>
        <v>#REF!</v>
      </c>
      <c r="D9" s="40">
        <v>5.5000000000000003E-4</v>
      </c>
      <c r="F9" s="28" t="e">
        <f t="shared" ref="F9:F14" si="0">C9*D9*$H$8/366</f>
        <v>#REF!</v>
      </c>
      <c r="H9" s="35"/>
    </row>
    <row r="10" spans="1:8">
      <c r="A10" s="34" t="s">
        <v>82</v>
      </c>
      <c r="B10" s="36" t="s">
        <v>20</v>
      </c>
      <c r="C10" s="6" t="e">
        <f>SUMIF(#REF!,'Hydro Deferral'!A10,#REF!)</f>
        <v>#REF!</v>
      </c>
      <c r="D10" s="40">
        <v>5.5000000000000003E-4</v>
      </c>
      <c r="F10" s="28" t="e">
        <f t="shared" si="0"/>
        <v>#REF!</v>
      </c>
      <c r="H10" s="35"/>
    </row>
    <row r="11" spans="1:8">
      <c r="A11" s="34">
        <v>36</v>
      </c>
      <c r="B11" s="36" t="s">
        <v>16</v>
      </c>
      <c r="C11" s="6" t="e">
        <f>SUMIF(#REF!,'Hydro Deferral'!A11,#REF!)</f>
        <v>#REF!</v>
      </c>
      <c r="D11" s="40">
        <v>4.6000000000000001E-4</v>
      </c>
      <c r="F11" s="28" t="e">
        <f t="shared" si="0"/>
        <v>#REF!</v>
      </c>
      <c r="H11" s="35"/>
    </row>
    <row r="12" spans="1:8">
      <c r="A12" s="34" t="s">
        <v>81</v>
      </c>
      <c r="B12" s="36" t="s">
        <v>17</v>
      </c>
      <c r="C12" s="6" t="e">
        <f>SUMIF(#REF!,'Hydro Deferral'!A12,#REF!)</f>
        <v>#REF!</v>
      </c>
      <c r="D12" s="40">
        <v>3.8000000000000002E-4</v>
      </c>
      <c r="F12" s="28" t="e">
        <f t="shared" si="0"/>
        <v>#REF!</v>
      </c>
      <c r="H12" s="35"/>
    </row>
    <row r="13" spans="1:8">
      <c r="A13" s="34" t="s">
        <v>79</v>
      </c>
      <c r="B13" s="36" t="s">
        <v>18</v>
      </c>
      <c r="C13" s="6" t="e">
        <f>SUMIF(#REF!,'Hydro Deferral'!A13,#REF!)</f>
        <v>#REF!</v>
      </c>
      <c r="D13" s="40">
        <v>1.06E-3</v>
      </c>
      <c r="F13" s="28" t="e">
        <f t="shared" si="0"/>
        <v>#REF!</v>
      </c>
      <c r="H13" s="35"/>
    </row>
    <row r="14" spans="1:8">
      <c r="A14" s="34">
        <v>54</v>
      </c>
      <c r="B14" s="36" t="s">
        <v>19</v>
      </c>
      <c r="C14" s="6" t="e">
        <f>SUMIF(#REF!,'Hydro Deferral'!A14,#REF!)</f>
        <v>#REF!</v>
      </c>
      <c r="D14" s="40">
        <v>6.7000000000000002E-4</v>
      </c>
      <c r="F14" s="28" t="e">
        <f t="shared" si="0"/>
        <v>#REF!</v>
      </c>
      <c r="H14" s="35"/>
    </row>
    <row r="15" spans="1:8">
      <c r="A15" s="34" t="s">
        <v>8</v>
      </c>
      <c r="B15" s="3"/>
      <c r="C15" s="6" t="e">
        <f>SUM(C8:C14)</f>
        <v>#REF!</v>
      </c>
      <c r="D15" s="3"/>
    </row>
    <row r="16" spans="1:8">
      <c r="A16" s="34" t="s">
        <v>8</v>
      </c>
      <c r="B16" s="3" t="s">
        <v>55</v>
      </c>
      <c r="C16" s="3"/>
      <c r="D16" s="3"/>
    </row>
    <row r="17" spans="1:8">
      <c r="A17" s="34" t="s">
        <v>8</v>
      </c>
      <c r="B17" s="3"/>
      <c r="C17" s="3" t="s">
        <v>109</v>
      </c>
      <c r="D17" s="40"/>
      <c r="H17" s="35"/>
    </row>
    <row r="18" spans="1:8">
      <c r="A18" s="34">
        <v>24</v>
      </c>
      <c r="B18" s="36" t="s">
        <v>14</v>
      </c>
      <c r="C18" s="6" t="e">
        <f>SUMIF(#REF!,'Hydro Deferral'!A18,#REF!)</f>
        <v>#REF!</v>
      </c>
      <c r="D18" s="40">
        <v>5.5000000000000003E-4</v>
      </c>
      <c r="F18" s="28" t="e">
        <f t="shared" ref="F18:F25" si="1">C18*D18*$H$8/366</f>
        <v>#REF!</v>
      </c>
      <c r="H18" s="35"/>
    </row>
    <row r="19" spans="1:8">
      <c r="A19" s="34" t="s">
        <v>78</v>
      </c>
      <c r="B19" s="36" t="s">
        <v>15</v>
      </c>
      <c r="C19" s="6" t="e">
        <f>SUMIF(#REF!,'Hydro Deferral'!A19,#REF!)</f>
        <v>#REF!</v>
      </c>
      <c r="D19" s="40">
        <v>5.5000000000000003E-4</v>
      </c>
      <c r="F19" s="28" t="e">
        <f t="shared" si="1"/>
        <v>#REF!</v>
      </c>
      <c r="H19" s="35"/>
    </row>
    <row r="20" spans="1:8">
      <c r="A20" s="34" t="s">
        <v>82</v>
      </c>
      <c r="B20" s="36" t="s">
        <v>20</v>
      </c>
      <c r="C20" s="6" t="e">
        <f>SUMIF(#REF!,'Hydro Deferral'!A20,#REF!)</f>
        <v>#REF!</v>
      </c>
      <c r="D20" s="40">
        <v>5.5000000000000003E-4</v>
      </c>
      <c r="F20" s="28" t="e">
        <f t="shared" si="1"/>
        <v>#REF!</v>
      </c>
      <c r="H20" s="35"/>
    </row>
    <row r="21" spans="1:8">
      <c r="A21" s="34">
        <v>36</v>
      </c>
      <c r="B21" s="36" t="s">
        <v>16</v>
      </c>
      <c r="C21" s="6" t="e">
        <f>SUMIF(#REF!,'Hydro Deferral'!A21,#REF!)</f>
        <v>#REF!</v>
      </c>
      <c r="D21" s="40">
        <v>4.6000000000000001E-4</v>
      </c>
      <c r="F21" s="28" t="e">
        <f t="shared" si="1"/>
        <v>#REF!</v>
      </c>
      <c r="H21" s="35"/>
    </row>
    <row r="22" spans="1:8">
      <c r="A22" s="34">
        <v>47</v>
      </c>
      <c r="B22" s="36" t="s">
        <v>89</v>
      </c>
      <c r="C22" s="6" t="e">
        <f>SUMIF(#REF!,'Hydro Deferral'!A22,#REF!)</f>
        <v>#REF!</v>
      </c>
      <c r="D22" s="40">
        <v>3.8000000000000002E-4</v>
      </c>
      <c r="F22" s="28" t="e">
        <f t="shared" si="1"/>
        <v>#REF!</v>
      </c>
      <c r="H22" s="35"/>
    </row>
    <row r="23" spans="1:8">
      <c r="A23" s="34" t="s">
        <v>80</v>
      </c>
      <c r="B23" s="36" t="s">
        <v>23</v>
      </c>
      <c r="C23" s="6" t="e">
        <f>SUMIF(#REF!,'Hydro Deferral'!A23,#REF!)</f>
        <v>#REF!</v>
      </c>
      <c r="D23" s="40">
        <v>3.8000000000000002E-4</v>
      </c>
      <c r="F23" s="28" t="e">
        <f t="shared" si="1"/>
        <v>#REF!</v>
      </c>
      <c r="H23" s="35"/>
    </row>
    <row r="24" spans="1:8">
      <c r="A24" s="34" t="s">
        <v>81</v>
      </c>
      <c r="B24" s="36" t="s">
        <v>17</v>
      </c>
      <c r="C24" s="6" t="e">
        <f>SUMIF(#REF!,'Hydro Deferral'!A24,#REF!)</f>
        <v>#REF!</v>
      </c>
      <c r="D24" s="40">
        <v>3.8000000000000002E-4</v>
      </c>
      <c r="F24" s="28" t="e">
        <f t="shared" si="1"/>
        <v>#REF!</v>
      </c>
      <c r="H24" s="35"/>
    </row>
    <row r="25" spans="1:8">
      <c r="A25" s="34" t="s">
        <v>79</v>
      </c>
      <c r="B25" s="36" t="s">
        <v>18</v>
      </c>
      <c r="C25" s="6" t="e">
        <f>SUMIF(#REF!,'Hydro Deferral'!A25,#REF!)</f>
        <v>#REF!</v>
      </c>
      <c r="D25" s="40">
        <v>1.06E-3</v>
      </c>
      <c r="F25" s="28" t="e">
        <f t="shared" si="1"/>
        <v>#REF!</v>
      </c>
      <c r="H25" s="35"/>
    </row>
    <row r="26" spans="1:8">
      <c r="A26" s="34"/>
      <c r="B26" s="3"/>
      <c r="C26" s="6" t="e">
        <f>SUM(C18:C25)</f>
        <v>#REF!</v>
      </c>
      <c r="D26" s="3"/>
    </row>
    <row r="27" spans="1:8">
      <c r="A27" s="34"/>
      <c r="B27" s="3" t="s">
        <v>58</v>
      </c>
      <c r="C27" s="3"/>
      <c r="D27" s="3"/>
    </row>
    <row r="28" spans="1:8">
      <c r="A28" s="34"/>
      <c r="B28" s="3"/>
      <c r="C28" s="3" t="s">
        <v>109</v>
      </c>
      <c r="D28" s="3"/>
    </row>
    <row r="29" spans="1:8">
      <c r="A29" s="34">
        <v>40</v>
      </c>
      <c r="B29" s="36" t="s">
        <v>21</v>
      </c>
      <c r="C29" s="6" t="e">
        <f>SUMIF(#REF!,'Hydro Deferral'!A29,#REF!)</f>
        <v>#REF!</v>
      </c>
      <c r="D29" s="40">
        <v>5.1000000000000004E-4</v>
      </c>
      <c r="F29" s="28" t="e">
        <f>C29*D29*$H$8/366</f>
        <v>#REF!</v>
      </c>
      <c r="H29" s="35"/>
    </row>
    <row r="30" spans="1:8">
      <c r="A30" s="34" t="s">
        <v>83</v>
      </c>
      <c r="B30" s="36" t="s">
        <v>22</v>
      </c>
      <c r="C30" s="6" t="e">
        <f>SUMIF(#REF!,'Hydro Deferral'!A30,#REF!)</f>
        <v>#REF!</v>
      </c>
      <c r="D30" s="40">
        <v>5.1000000000000004E-4</v>
      </c>
      <c r="F30" s="28" t="e">
        <f>C30*D30*$H$8/366</f>
        <v>#REF!</v>
      </c>
      <c r="H30" s="35"/>
    </row>
    <row r="31" spans="1:8">
      <c r="A31" s="34"/>
      <c r="B31" s="3"/>
      <c r="C31" s="6" t="e">
        <f>SUM(C29:C30)</f>
        <v>#REF!</v>
      </c>
      <c r="D31" s="3"/>
    </row>
    <row r="32" spans="1:8">
      <c r="A32" s="34"/>
      <c r="B32" s="3" t="s">
        <v>65</v>
      </c>
      <c r="C32" s="3"/>
      <c r="D32" s="3"/>
    </row>
    <row r="33" spans="1:8">
      <c r="A33" s="34"/>
      <c r="B33" s="3"/>
      <c r="C33" s="3" t="s">
        <v>109</v>
      </c>
      <c r="D33" s="3"/>
    </row>
    <row r="34" spans="1:8">
      <c r="A34" s="34">
        <v>52</v>
      </c>
      <c r="B34" s="36" t="s">
        <v>24</v>
      </c>
      <c r="C34" s="6" t="e">
        <f>SUMIF(#REF!,'Hydro Deferral'!A34,#REF!)</f>
        <v>#REF!</v>
      </c>
      <c r="D34" s="40">
        <v>1.1000000000000001E-3</v>
      </c>
      <c r="F34" s="28" t="e">
        <f>C34*D34*$H$8/366</f>
        <v>#REF!</v>
      </c>
      <c r="H34" s="35"/>
    </row>
    <row r="35" spans="1:8">
      <c r="A35" s="34" t="s">
        <v>127</v>
      </c>
      <c r="B35" s="36" t="s">
        <v>25</v>
      </c>
      <c r="C35" s="6" t="e">
        <f>SUMIF(#REF!,'Hydro Deferral'!A35,#REF!)</f>
        <v>#REF!</v>
      </c>
      <c r="D35" s="40">
        <v>5.1999999999999995E-4</v>
      </c>
      <c r="F35" s="28" t="e">
        <f>C35*D35*$H$8/366</f>
        <v>#REF!</v>
      </c>
      <c r="H35" s="35"/>
    </row>
    <row r="36" spans="1:8">
      <c r="A36" s="34" t="s">
        <v>85</v>
      </c>
      <c r="B36" s="36" t="s">
        <v>26</v>
      </c>
      <c r="C36" s="6" t="e">
        <f>SUMIF(#REF!,'Hydro Deferral'!A36,#REF!)</f>
        <v>#REF!</v>
      </c>
      <c r="D36" s="40">
        <v>5.1999999999999995E-4</v>
      </c>
      <c r="F36" s="28" t="e">
        <f>C36*D36*$H$8/366</f>
        <v>#REF!</v>
      </c>
      <c r="H36" s="35"/>
    </row>
    <row r="37" spans="1:8">
      <c r="A37" s="34">
        <v>51</v>
      </c>
      <c r="B37" s="36" t="s">
        <v>27</v>
      </c>
      <c r="C37" s="6" t="e">
        <f>SUMIF(#REF!,'Hydro Deferral'!A37,#REF!)</f>
        <v>#REF!</v>
      </c>
      <c r="D37" s="40">
        <v>1.5100000000000001E-3</v>
      </c>
      <c r="F37" s="28" t="e">
        <f>C37*D37*$H$8/366</f>
        <v>#REF!</v>
      </c>
      <c r="H37" s="35"/>
    </row>
    <row r="38" spans="1:8">
      <c r="A38" s="34">
        <v>57</v>
      </c>
      <c r="B38" s="36" t="s">
        <v>28</v>
      </c>
      <c r="C38" s="6" t="e">
        <f>SUMIF(#REF!,'Hydro Deferral'!A38,#REF!)</f>
        <v>#REF!</v>
      </c>
      <c r="D38" s="40">
        <v>9.1E-4</v>
      </c>
      <c r="F38" s="28" t="e">
        <f>C38*D38*$H$8/366</f>
        <v>#REF!</v>
      </c>
      <c r="H38" s="35"/>
    </row>
    <row r="39" spans="1:8">
      <c r="A39" s="34"/>
      <c r="B39" s="36" t="s">
        <v>128</v>
      </c>
      <c r="C39" s="6" t="e">
        <f>SUMIF(#REF!,'Hydro Deferral'!A39,#REF!)</f>
        <v>#REF!</v>
      </c>
      <c r="D39" s="40"/>
      <c r="F39" s="28"/>
      <c r="H39" s="35"/>
    </row>
    <row r="40" spans="1:8">
      <c r="A40" s="34" t="s">
        <v>8</v>
      </c>
      <c r="B40" s="3"/>
      <c r="C40" s="6" t="e">
        <f>SUM(C34:C38)</f>
        <v>#REF!</v>
      </c>
      <c r="D40" s="3"/>
    </row>
    <row r="41" spans="1:8">
      <c r="A41" s="34" t="s">
        <v>8</v>
      </c>
      <c r="B41" s="3" t="s">
        <v>72</v>
      </c>
      <c r="C41" s="3"/>
      <c r="D41" s="3"/>
    </row>
    <row r="42" spans="1:8">
      <c r="A42" s="34" t="s">
        <v>8</v>
      </c>
      <c r="B42" s="3"/>
      <c r="C42" s="3" t="s">
        <v>109</v>
      </c>
      <c r="D42" s="3"/>
    </row>
    <row r="43" spans="1:8">
      <c r="A43" s="34" t="s">
        <v>86</v>
      </c>
      <c r="B43" s="3" t="s">
        <v>13</v>
      </c>
      <c r="C43" s="6" t="e">
        <f>SUMIF(#REF!,'Hydro Deferral'!A43,#REF!)</f>
        <v>#REF!</v>
      </c>
      <c r="D43" s="40">
        <v>1.06E-3</v>
      </c>
      <c r="F43" s="28" t="e">
        <f t="shared" ref="F43:F49" si="2">C43*D43*$H$8/366</f>
        <v>#REF!</v>
      </c>
      <c r="H43" s="35"/>
    </row>
    <row r="44" spans="1:8">
      <c r="A44" s="34">
        <v>16</v>
      </c>
      <c r="B44" s="3" t="s">
        <v>11</v>
      </c>
      <c r="C44" s="6" t="e">
        <f>SUMIF(#REF!,'Hydro Deferral'!A44,#REF!)</f>
        <v>#REF!</v>
      </c>
      <c r="D44" s="40">
        <v>5.5000000000000003E-4</v>
      </c>
      <c r="F44" s="28" t="e">
        <f t="shared" si="2"/>
        <v>#REF!</v>
      </c>
      <c r="H44" s="35"/>
    </row>
    <row r="45" spans="1:8">
      <c r="A45" s="34">
        <v>17</v>
      </c>
      <c r="B45" s="3" t="s">
        <v>32</v>
      </c>
      <c r="C45" s="6" t="e">
        <f>SUMIF(#REF!,'Hydro Deferral'!A45,#REF!)</f>
        <v>#REF!</v>
      </c>
      <c r="D45" s="40">
        <v>5.5000000000000003E-4</v>
      </c>
      <c r="F45" s="28" t="e">
        <f t="shared" si="2"/>
        <v>#REF!</v>
      </c>
      <c r="H45" s="35"/>
    </row>
    <row r="46" spans="1:8">
      <c r="A46" s="34">
        <v>18</v>
      </c>
      <c r="B46" s="3" t="s">
        <v>12</v>
      </c>
      <c r="C46" s="6" t="e">
        <f>SUMIF(#REF!,'Hydro Deferral'!A46,#REF!)</f>
        <v>#REF!</v>
      </c>
      <c r="D46" s="40">
        <v>5.5000000000000003E-4</v>
      </c>
      <c r="F46" s="28" t="e">
        <f t="shared" si="2"/>
        <v>#REF!</v>
      </c>
      <c r="H46" s="35"/>
    </row>
    <row r="47" spans="1:8">
      <c r="A47" s="34" t="s">
        <v>87</v>
      </c>
      <c r="B47" s="3" t="s">
        <v>88</v>
      </c>
      <c r="C47" s="6" t="e">
        <f>SUMIF(#REF!,'Hydro Deferral'!A47,#REF!)</f>
        <v>#REF!</v>
      </c>
      <c r="D47" s="40">
        <v>5.5000000000000003E-4</v>
      </c>
      <c r="F47" s="28" t="e">
        <f t="shared" si="2"/>
        <v>#REF!</v>
      </c>
      <c r="H47" s="35"/>
    </row>
    <row r="48" spans="1:8">
      <c r="A48" s="34">
        <v>135</v>
      </c>
      <c r="B48" s="3" t="s">
        <v>118</v>
      </c>
      <c r="C48" s="6" t="e">
        <f>SUMIF(#REF!,'Hydro Deferral'!A48,#REF!)</f>
        <v>#REF!</v>
      </c>
      <c r="D48" s="40">
        <v>5.5000000000000003E-4</v>
      </c>
      <c r="F48" s="28" t="e">
        <f t="shared" si="2"/>
        <v>#REF!</v>
      </c>
      <c r="H48" s="35"/>
    </row>
    <row r="49" spans="1:8">
      <c r="A49" s="26">
        <v>24</v>
      </c>
      <c r="B49" s="3" t="s">
        <v>150</v>
      </c>
      <c r="C49" s="6" t="e">
        <f>SUMIF(#REF!,#REF!,#REF!)</f>
        <v>#REF!</v>
      </c>
      <c r="D49" s="40">
        <v>5.5000000000000003E-4</v>
      </c>
      <c r="F49" s="28" t="e">
        <f t="shared" si="2"/>
        <v>#REF!</v>
      </c>
      <c r="H49" s="35"/>
    </row>
    <row r="50" spans="1:8">
      <c r="A50" s="34"/>
      <c r="B50" s="3"/>
      <c r="C50" s="6" t="e">
        <f>SUM(C43:C49)</f>
        <v>#REF!</v>
      </c>
      <c r="D50" s="3"/>
    </row>
    <row r="51" spans="1:8">
      <c r="A51" s="34"/>
      <c r="B51" s="3"/>
      <c r="C51" s="3"/>
      <c r="D51" s="3"/>
    </row>
    <row r="52" spans="1:8">
      <c r="A52" s="34"/>
      <c r="B52" s="3"/>
      <c r="C52" s="6" t="e">
        <f>C50+C40+C31+C26+C15</f>
        <v>#REF!</v>
      </c>
      <c r="D52" s="3"/>
      <c r="F52" s="37" t="e">
        <f>SUM(F8:F49)</f>
        <v>#REF!</v>
      </c>
    </row>
    <row r="53" spans="1:8">
      <c r="A53" s="34"/>
      <c r="B53" s="3"/>
      <c r="C53" s="3"/>
      <c r="D53" s="3"/>
    </row>
    <row r="54" spans="1:8">
      <c r="B54" s="2" t="s">
        <v>119</v>
      </c>
      <c r="C54" s="27" t="e">
        <f>#REF!-#REF!-#REF!-#REF!-#REF!-#REF!-#REF!-C52</f>
        <v>#REF!</v>
      </c>
      <c r="F54" s="28" t="e">
        <f>#REF!+F52</f>
        <v>#REF!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858B81C-85D2-4DD0-AF3C-75358C900332}"/>
</file>

<file path=customXml/itemProps2.xml><?xml version="1.0" encoding="utf-8"?>
<ds:datastoreItem xmlns:ds="http://schemas.openxmlformats.org/officeDocument/2006/customXml" ds:itemID="{A1FAA0DF-FBF3-41DB-89D3-56CC3D2F1503}"/>
</file>

<file path=customXml/itemProps3.xml><?xml version="1.0" encoding="utf-8"?>
<ds:datastoreItem xmlns:ds="http://schemas.openxmlformats.org/officeDocument/2006/customXml" ds:itemID="{6175163A-68B4-4E71-BD0F-0DA9D6D121DA}"/>
</file>

<file path=customXml/itemProps4.xml><?xml version="1.0" encoding="utf-8"?>
<ds:datastoreItem xmlns:ds="http://schemas.openxmlformats.org/officeDocument/2006/customXml" ds:itemID="{4D699E9E-49B0-4975-A9F9-967DBFE8A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27</vt:i4>
      </vt:variant>
    </vt:vector>
  </HeadingPairs>
  <TitlesOfParts>
    <vt:vector size="49" baseType="lpstr">
      <vt:lpstr>Summary</vt:lpstr>
      <vt:lpstr>Sch.16 Bill Comparisons wRiders</vt:lpstr>
      <vt:lpstr>Sch.16,17,19</vt:lpstr>
      <vt:lpstr>Sch.24</vt:lpstr>
      <vt:lpstr>Sch.29,36</vt:lpstr>
      <vt:lpstr>Sch.48T</vt:lpstr>
      <vt:lpstr>Sch.48T-DF</vt:lpstr>
      <vt:lpstr>Sch.47T</vt:lpstr>
      <vt:lpstr>Sch.40</vt:lpstr>
      <vt:lpstr>Sch.15,51,53,54</vt:lpstr>
      <vt:lpstr>Cost of Service and Proposed $</vt:lpstr>
      <vt:lpstr>Normalized Units</vt:lpstr>
      <vt:lpstr>AutoPay&amp;Paperless</vt:lpstr>
      <vt:lpstr>Unbilled</vt:lpstr>
      <vt:lpstr>Normalized Summary</vt:lpstr>
      <vt:lpstr>Sch.24,29,36,40 Customers</vt:lpstr>
      <vt:lpstr>Sch.40 Bills</vt:lpstr>
      <vt:lpstr>RVN</vt:lpstr>
      <vt:lpstr>Code</vt:lpstr>
      <vt:lpstr>Jan - Mar Monthly 305 Revenue</vt:lpstr>
      <vt:lpstr>SBC (Old)</vt:lpstr>
      <vt:lpstr>Hydro Deferral</vt:lpstr>
      <vt:lpstr>'AutoPay&amp;Paperless'!Print_Area</vt:lpstr>
      <vt:lpstr>'Normalized Summary'!Print_Area</vt:lpstr>
      <vt:lpstr>'Normalized Units'!Print_Area</vt:lpstr>
      <vt:lpstr>'Sch.15,51,53,54'!Print_Area</vt:lpstr>
      <vt:lpstr>'Sch.16,17,19'!Print_Area</vt:lpstr>
      <vt:lpstr>Sch.24!Print_Area</vt:lpstr>
      <vt:lpstr>'Sch.24,29,36,40 Customers'!Print_Area</vt:lpstr>
      <vt:lpstr>'Sch.29,36'!Print_Area</vt:lpstr>
      <vt:lpstr>Sch.40!Print_Area</vt:lpstr>
      <vt:lpstr>'Sch.40 Bills'!Print_Area</vt:lpstr>
      <vt:lpstr>Sch.47T!Print_Area</vt:lpstr>
      <vt:lpstr>Sch.48T!Print_Area</vt:lpstr>
      <vt:lpstr>'Sch.48T-DF'!Print_Area</vt:lpstr>
      <vt:lpstr>Summary!Print_Area</vt:lpstr>
      <vt:lpstr>Unbilled!Print_Area</vt:lpstr>
      <vt:lpstr>'AutoPay&amp;Paperless'!Print_Titles</vt:lpstr>
      <vt:lpstr>'Normalized Summary'!Print_Titles</vt:lpstr>
      <vt:lpstr>'Normalized Units'!Print_Titles</vt:lpstr>
      <vt:lpstr>'Sch.15,51,53,54'!Print_Titles</vt:lpstr>
      <vt:lpstr>'Sch.16,17,19'!Print_Titles</vt:lpstr>
      <vt:lpstr>Sch.24!Print_Titles</vt:lpstr>
      <vt:lpstr>'Sch.29,36'!Print_Titles</vt:lpstr>
      <vt:lpstr>Sch.40!Print_Titles</vt:lpstr>
      <vt:lpstr>Sch.47T!Print_Titles</vt:lpstr>
      <vt:lpstr>Sch.48T!Print_Titles</vt:lpstr>
      <vt:lpstr>'Sch.48T-DF'!Print_Titles</vt:lpstr>
      <vt:lpstr>Unbilled!Print_Titles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Lipinski, Andre</cp:lastModifiedBy>
  <cp:lastPrinted>2023-03-14T00:09:25Z</cp:lastPrinted>
  <dcterms:created xsi:type="dcterms:W3CDTF">1997-08-20T18:29:19Z</dcterms:created>
  <dcterms:modified xsi:type="dcterms:W3CDTF">2023-04-03T22:33:54Z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