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360" yWindow="120" windowWidth="11280" windowHeight="6225" tabRatio="406"/>
  </bookViews>
  <sheets>
    <sheet name="Summary" sheetId="2" r:id="rId1"/>
    <sheet name="Detail" sheetId="3" r:id="rId2"/>
    <sheet name="Module1" sheetId="10" state="veryHidden" r:id="rId3"/>
    <sheet name="Module2" sheetId="11" state="veryHidden" r:id="rId4"/>
    <sheet name="Module3" sheetId="12" state="veryHidden" r:id="rId5"/>
    <sheet name="Module4" sheetId="13" state="veryHidden" r:id="rId6"/>
  </sheets>
  <definedNames>
    <definedName name="\C">Summary!#REF!</definedName>
    <definedName name="\F">#REF!</definedName>
    <definedName name="\P">Summary!#REF!</definedName>
    <definedName name="_Fill" hidden="1">Summary!#REF!</definedName>
    <definedName name="_Order1" hidden="1">255</definedName>
    <definedName name="_Order2" hidden="1">255</definedName>
    <definedName name="_Sort" hidden="1">#REF!</definedName>
    <definedName name="date">#REF!</definedName>
    <definedName name="Forward_Rate">Summary!#REF!</definedName>
    <definedName name="HEADING">#REF!</definedName>
    <definedName name="HEADING2">#REF!</definedName>
    <definedName name="PAGE1">Summary!#REF!</definedName>
    <definedName name="PAGE10">#REF!</definedName>
    <definedName name="PAGE10A">#REF!</definedName>
    <definedName name="PAGE11">#REF!</definedName>
    <definedName name="PAGE2">Detail!$A$1:$P$35</definedName>
    <definedName name="PAGE3">#REF!</definedName>
    <definedName name="PAGE4">#REF!</definedName>
    <definedName name="PAGE4A">#REF!</definedName>
    <definedName name="PAGE4B">#REF!</definedName>
    <definedName name="PAGE5">#REF!</definedName>
    <definedName name="PAGE6">#REF!</definedName>
    <definedName name="PAGE7">#REF!</definedName>
    <definedName name="PAGE8">#REF!</definedName>
    <definedName name="PAGE9">#REF!</definedName>
    <definedName name="_xlnm.Print_Area" localSheetId="1">Detail!$A$1:$P$102</definedName>
    <definedName name="_xlnm.Print_Area" localSheetId="0">Summary!$A$1:$L$18</definedName>
    <definedName name="Print_Area_MI" localSheetId="0">Summary!#REF!</definedName>
    <definedName name="_xlnm.Print_Titles" localSheetId="1">Detail!$1:$10</definedName>
    <definedName name="rateswitch">Summary!#REF!</definedName>
    <definedName name="ser_c_03_amort">#REF!</definedName>
  </definedNames>
  <calcPr calcId="145621"/>
</workbook>
</file>

<file path=xl/calcChain.xml><?xml version="1.0" encoding="utf-8"?>
<calcChain xmlns="http://schemas.openxmlformats.org/spreadsheetml/2006/main">
  <c r="P24" i="3" l="1"/>
  <c r="P25" i="3"/>
  <c r="P26" i="3"/>
  <c r="A34" i="3"/>
  <c r="A35" i="3" s="1"/>
  <c r="A36" i="3" s="1"/>
  <c r="L24" i="3"/>
  <c r="M24" i="3" s="1"/>
  <c r="K24" i="3"/>
  <c r="J24" i="3"/>
  <c r="F24" i="3"/>
  <c r="E24" i="3"/>
  <c r="D24" i="3"/>
  <c r="N24" i="3" l="1"/>
  <c r="O24" i="3" s="1"/>
  <c r="I34" i="3" l="1"/>
  <c r="B34" i="3"/>
  <c r="A4" i="2" l="1"/>
  <c r="J23" i="3" l="1"/>
  <c r="L23" i="3" s="1"/>
  <c r="M23" i="3" s="1"/>
  <c r="E23" i="3"/>
  <c r="D23" i="3"/>
  <c r="J22" i="3"/>
  <c r="J33" i="3"/>
  <c r="J21" i="3"/>
  <c r="F23" i="3" l="1"/>
  <c r="N23" i="3"/>
  <c r="O23" i="3" s="1"/>
  <c r="O97" i="3" l="1"/>
  <c r="O99" i="3" s="1"/>
  <c r="G16" i="2" s="1"/>
  <c r="E98" i="3"/>
  <c r="D98" i="3"/>
  <c r="E97" i="3"/>
  <c r="D97" i="3"/>
  <c r="L15" i="2"/>
  <c r="L16" i="2"/>
  <c r="A15" i="2"/>
  <c r="A16" i="2"/>
  <c r="A17" i="2" s="1"/>
  <c r="E42" i="3" l="1"/>
  <c r="K22" i="3" l="1"/>
  <c r="K34" i="3" s="1"/>
  <c r="D22" i="3" l="1"/>
  <c r="E22" i="3"/>
  <c r="L33" i="3"/>
  <c r="M33" i="3" s="1"/>
  <c r="E33" i="3"/>
  <c r="D33" i="3"/>
  <c r="E21" i="3"/>
  <c r="D21" i="3"/>
  <c r="L22" i="3"/>
  <c r="M22" i="3" s="1"/>
  <c r="L21" i="3"/>
  <c r="M21" i="3" s="1"/>
  <c r="J25" i="3"/>
  <c r="L25" i="3" s="1"/>
  <c r="M25" i="3" s="1"/>
  <c r="E25" i="3"/>
  <c r="D25" i="3"/>
  <c r="F21" i="3" l="1"/>
  <c r="F22" i="3"/>
  <c r="N33" i="3"/>
  <c r="O33" i="3" s="1"/>
  <c r="F25" i="3"/>
  <c r="N21" i="3"/>
  <c r="O21" i="3" s="1"/>
  <c r="F33" i="3"/>
  <c r="N22" i="3"/>
  <c r="O22" i="3" s="1"/>
  <c r="N25" i="3"/>
  <c r="O25" i="3" s="1"/>
  <c r="J20" i="3"/>
  <c r="E20" i="3" l="1"/>
  <c r="D20" i="3"/>
  <c r="F20" i="3" s="1"/>
  <c r="L20" i="3"/>
  <c r="M20" i="3" s="1"/>
  <c r="N20" i="3" l="1"/>
  <c r="O20" i="3" s="1"/>
  <c r="J19" i="3"/>
  <c r="J32" i="3"/>
  <c r="D62" i="3"/>
  <c r="D61" i="3"/>
  <c r="D60" i="3"/>
  <c r="J31" i="3" l="1"/>
  <c r="L31" i="3" s="1"/>
  <c r="M31" i="3" s="1"/>
  <c r="J18" i="3"/>
  <c r="L19" i="3"/>
  <c r="M19" i="3" s="1"/>
  <c r="L32" i="3"/>
  <c r="M32" i="3" s="1"/>
  <c r="E62" i="3"/>
  <c r="F62" i="3" s="1"/>
  <c r="E61" i="3"/>
  <c r="F61" i="3" s="1"/>
  <c r="E60" i="3"/>
  <c r="F60" i="3" s="1"/>
  <c r="J28" i="3"/>
  <c r="L28" i="3" s="1"/>
  <c r="M28" i="3" s="1"/>
  <c r="D79" i="3"/>
  <c r="E79" i="3"/>
  <c r="I79" i="3"/>
  <c r="J79" i="3"/>
  <c r="D78" i="3"/>
  <c r="E78" i="3"/>
  <c r="F78" i="3" s="1"/>
  <c r="I78" i="3"/>
  <c r="I80" i="3" s="1"/>
  <c r="C12" i="2" s="1"/>
  <c r="J78" i="3"/>
  <c r="D72" i="3"/>
  <c r="E72" i="3"/>
  <c r="J72" i="3"/>
  <c r="L72" i="3" s="1"/>
  <c r="M72" i="3" s="1"/>
  <c r="D71" i="3"/>
  <c r="E71" i="3"/>
  <c r="J71" i="3"/>
  <c r="L71" i="3" s="1"/>
  <c r="D90" i="3"/>
  <c r="E90" i="3"/>
  <c r="I90" i="3"/>
  <c r="I91" i="3" s="1"/>
  <c r="C13" i="2" s="1"/>
  <c r="J90" i="3"/>
  <c r="D89" i="3"/>
  <c r="E89" i="3"/>
  <c r="J89" i="3"/>
  <c r="K89" i="3"/>
  <c r="D88" i="3"/>
  <c r="E88" i="3"/>
  <c r="J88" i="3"/>
  <c r="K88" i="3"/>
  <c r="D87" i="3"/>
  <c r="E87" i="3"/>
  <c r="J87" i="3"/>
  <c r="K87" i="3"/>
  <c r="D86" i="3"/>
  <c r="E86" i="3"/>
  <c r="L86" i="3"/>
  <c r="M86" i="3" s="1"/>
  <c r="D85" i="3"/>
  <c r="E85" i="3"/>
  <c r="J85" i="3"/>
  <c r="K85" i="3"/>
  <c r="D84" i="3"/>
  <c r="E84" i="3"/>
  <c r="F84" i="3" s="1"/>
  <c r="J84" i="3"/>
  <c r="K84" i="3"/>
  <c r="D83" i="3"/>
  <c r="E83" i="3"/>
  <c r="F83" i="3" s="1"/>
  <c r="J83" i="3"/>
  <c r="K83" i="3"/>
  <c r="D82" i="3"/>
  <c r="E82" i="3"/>
  <c r="J82" i="3"/>
  <c r="K82" i="3"/>
  <c r="D77" i="3"/>
  <c r="E77" i="3"/>
  <c r="F77" i="3" s="1"/>
  <c r="J77" i="3"/>
  <c r="K77" i="3"/>
  <c r="D76" i="3"/>
  <c r="E76" i="3"/>
  <c r="F76" i="3" s="1"/>
  <c r="J76" i="3"/>
  <c r="K76" i="3"/>
  <c r="D75" i="3"/>
  <c r="E75" i="3"/>
  <c r="J75" i="3"/>
  <c r="K75" i="3"/>
  <c r="D74" i="3"/>
  <c r="E74" i="3"/>
  <c r="J74" i="3"/>
  <c r="K74" i="3"/>
  <c r="D73" i="3"/>
  <c r="E73" i="3"/>
  <c r="J73" i="3"/>
  <c r="K73" i="3"/>
  <c r="K80" i="3" s="1"/>
  <c r="E12" i="2" s="1"/>
  <c r="D65" i="3"/>
  <c r="E65" i="3"/>
  <c r="J65" i="3"/>
  <c r="L65" i="3" s="1"/>
  <c r="L62" i="3"/>
  <c r="M62" i="3" s="1"/>
  <c r="L61" i="3"/>
  <c r="M61" i="3" s="1"/>
  <c r="L60" i="3"/>
  <c r="M60" i="3" s="1"/>
  <c r="D59" i="3"/>
  <c r="E59" i="3"/>
  <c r="K59" i="3"/>
  <c r="L59" i="3" s="1"/>
  <c r="M59" i="3" s="1"/>
  <c r="D58" i="3"/>
  <c r="E58" i="3"/>
  <c r="L58" i="3"/>
  <c r="M58" i="3" s="1"/>
  <c r="D57" i="3"/>
  <c r="E57" i="3"/>
  <c r="F57" i="3" s="1"/>
  <c r="L57" i="3"/>
  <c r="M57" i="3" s="1"/>
  <c r="D56" i="3"/>
  <c r="E56" i="3"/>
  <c r="K56" i="3"/>
  <c r="L56" i="3" s="1"/>
  <c r="D55" i="3"/>
  <c r="E55" i="3"/>
  <c r="K55" i="3"/>
  <c r="L55" i="3" s="1"/>
  <c r="M55" i="3" s="1"/>
  <c r="D54" i="3"/>
  <c r="E54" i="3"/>
  <c r="L54" i="3"/>
  <c r="M54" i="3" s="1"/>
  <c r="D53" i="3"/>
  <c r="E53" i="3"/>
  <c r="F53" i="3" s="1"/>
  <c r="L53" i="3"/>
  <c r="M53" i="3" s="1"/>
  <c r="D50" i="3"/>
  <c r="E50" i="3"/>
  <c r="J50" i="3"/>
  <c r="L50" i="3" s="1"/>
  <c r="M50" i="3" s="1"/>
  <c r="D49" i="3"/>
  <c r="E49" i="3"/>
  <c r="J49" i="3"/>
  <c r="L49" i="3" s="1"/>
  <c r="D48" i="3"/>
  <c r="E48" i="3"/>
  <c r="J48" i="3"/>
  <c r="L48" i="3" s="1"/>
  <c r="M48" i="3" s="1"/>
  <c r="D47" i="3"/>
  <c r="E47" i="3"/>
  <c r="F47" i="3" s="1"/>
  <c r="J47" i="3"/>
  <c r="K47" i="3"/>
  <c r="K51" i="3" s="1"/>
  <c r="D46" i="3"/>
  <c r="E46" i="3"/>
  <c r="J46" i="3"/>
  <c r="L46" i="3" s="1"/>
  <c r="M46" i="3" s="1"/>
  <c r="D45" i="3"/>
  <c r="E45" i="3"/>
  <c r="J45" i="3"/>
  <c r="L45" i="3" s="1"/>
  <c r="M45" i="3" s="1"/>
  <c r="D44" i="3"/>
  <c r="E44" i="3"/>
  <c r="J44" i="3"/>
  <c r="L44" i="3" s="1"/>
  <c r="M44" i="3" s="1"/>
  <c r="D43" i="3"/>
  <c r="E43" i="3"/>
  <c r="J43" i="3"/>
  <c r="L43" i="3" s="1"/>
  <c r="M43" i="3" s="1"/>
  <c r="D42" i="3"/>
  <c r="J42" i="3"/>
  <c r="L42" i="3" s="1"/>
  <c r="M42" i="3" s="1"/>
  <c r="D39" i="3"/>
  <c r="E39" i="3"/>
  <c r="J39" i="3"/>
  <c r="L39" i="3" s="1"/>
  <c r="M39" i="3" s="1"/>
  <c r="D38" i="3"/>
  <c r="E38" i="3"/>
  <c r="J38" i="3"/>
  <c r="L38" i="3" s="1"/>
  <c r="M38" i="3" s="1"/>
  <c r="D37" i="3"/>
  <c r="E37" i="3"/>
  <c r="J37" i="3"/>
  <c r="L37" i="3" s="1"/>
  <c r="M37" i="3" s="1"/>
  <c r="D36" i="3"/>
  <c r="E36" i="3"/>
  <c r="J36" i="3"/>
  <c r="L36" i="3" s="1"/>
  <c r="M36" i="3" s="1"/>
  <c r="D32" i="3"/>
  <c r="E32" i="3"/>
  <c r="D19" i="3"/>
  <c r="E19" i="3"/>
  <c r="D31" i="3"/>
  <c r="E31" i="3"/>
  <c r="D18" i="3"/>
  <c r="E18" i="3"/>
  <c r="D30" i="3"/>
  <c r="E30" i="3"/>
  <c r="J30" i="3"/>
  <c r="L30" i="3" s="1"/>
  <c r="M30" i="3" s="1"/>
  <c r="D29" i="3"/>
  <c r="E29" i="3"/>
  <c r="J29" i="3"/>
  <c r="L29" i="3" s="1"/>
  <c r="M29" i="3" s="1"/>
  <c r="D28" i="3"/>
  <c r="E28" i="3"/>
  <c r="D27" i="3"/>
  <c r="E27" i="3"/>
  <c r="J27" i="3"/>
  <c r="D26" i="3"/>
  <c r="E26" i="3"/>
  <c r="J26" i="3"/>
  <c r="L26" i="3" s="1"/>
  <c r="M26" i="3" s="1"/>
  <c r="D13" i="3"/>
  <c r="E13" i="3"/>
  <c r="D14" i="3"/>
  <c r="E14" i="3"/>
  <c r="D15" i="3"/>
  <c r="E15" i="3"/>
  <c r="A4" i="3"/>
  <c r="G24" i="3" s="1"/>
  <c r="A12" i="3"/>
  <c r="A13" i="3" s="1"/>
  <c r="A14" i="3" s="1"/>
  <c r="L13" i="3"/>
  <c r="M13" i="3" s="1"/>
  <c r="L14" i="3"/>
  <c r="M14" i="3" s="1"/>
  <c r="L15" i="3"/>
  <c r="M15" i="3" s="1"/>
  <c r="I40" i="3"/>
  <c r="B40" i="3" s="1"/>
  <c r="I51" i="3"/>
  <c r="B51" i="3" s="1"/>
  <c r="I63" i="3"/>
  <c r="B63" i="3" s="1"/>
  <c r="I66" i="3"/>
  <c r="B66" i="3" s="1"/>
  <c r="K16" i="3"/>
  <c r="K40" i="3"/>
  <c r="K66" i="3"/>
  <c r="J16" i="3"/>
  <c r="J63" i="3"/>
  <c r="A2" i="3"/>
  <c r="A1" i="3"/>
  <c r="A10" i="2"/>
  <c r="A11" i="2" s="1"/>
  <c r="L11" i="2" s="1"/>
  <c r="L9" i="2"/>
  <c r="P11" i="3"/>
  <c r="L18" i="3" l="1"/>
  <c r="J34" i="3"/>
  <c r="M18" i="3"/>
  <c r="G23" i="3"/>
  <c r="F88" i="3"/>
  <c r="K91" i="3"/>
  <c r="E13" i="2" s="1"/>
  <c r="E14" i="2" s="1"/>
  <c r="L89" i="3"/>
  <c r="M89" i="3" s="1"/>
  <c r="F71" i="3"/>
  <c r="C14" i="2"/>
  <c r="F38" i="3"/>
  <c r="F43" i="3"/>
  <c r="F58" i="3"/>
  <c r="N60" i="3"/>
  <c r="O60" i="3" s="1"/>
  <c r="F65" i="3"/>
  <c r="F66" i="3" s="1"/>
  <c r="F73" i="3"/>
  <c r="J91" i="3"/>
  <c r="D13" i="2" s="1"/>
  <c r="F72" i="3"/>
  <c r="F79" i="3"/>
  <c r="J66" i="3"/>
  <c r="F49" i="3"/>
  <c r="F55" i="3"/>
  <c r="F59" i="3"/>
  <c r="N61" i="3"/>
  <c r="O61" i="3" s="1"/>
  <c r="F74" i="3"/>
  <c r="F85" i="3"/>
  <c r="N62" i="3"/>
  <c r="O62" i="3" s="1"/>
  <c r="F82" i="3"/>
  <c r="J80" i="3"/>
  <c r="D12" i="2" s="1"/>
  <c r="F90" i="3"/>
  <c r="F87" i="3"/>
  <c r="F86" i="3"/>
  <c r="F75" i="3"/>
  <c r="F36" i="3"/>
  <c r="F45" i="3"/>
  <c r="N48" i="3"/>
  <c r="O48" i="3" s="1"/>
  <c r="F56" i="3"/>
  <c r="F89" i="3"/>
  <c r="L78" i="3"/>
  <c r="M78" i="3" s="1"/>
  <c r="L10" i="2"/>
  <c r="A12" i="2"/>
  <c r="F30" i="3"/>
  <c r="G25" i="3"/>
  <c r="G22" i="3"/>
  <c r="G33" i="3"/>
  <c r="G21" i="3"/>
  <c r="G65" i="3"/>
  <c r="G66" i="3" s="1"/>
  <c r="L79" i="3"/>
  <c r="M79" i="3" s="1"/>
  <c r="L27" i="3"/>
  <c r="M27" i="3" s="1"/>
  <c r="N27" i="3" s="1"/>
  <c r="O27" i="3" s="1"/>
  <c r="G71" i="3"/>
  <c r="F26" i="3"/>
  <c r="F27" i="3"/>
  <c r="F28" i="3"/>
  <c r="N29" i="3"/>
  <c r="O29" i="3" s="1"/>
  <c r="F29" i="3"/>
  <c r="F18" i="3"/>
  <c r="F31" i="3"/>
  <c r="F19" i="3"/>
  <c r="F32" i="3"/>
  <c r="L83" i="3"/>
  <c r="M83" i="3" s="1"/>
  <c r="P12" i="3"/>
  <c r="G45" i="3"/>
  <c r="G83" i="3"/>
  <c r="G28" i="3"/>
  <c r="K63" i="3"/>
  <c r="K68" i="3" s="1"/>
  <c r="E10" i="2" s="1"/>
  <c r="N59" i="3"/>
  <c r="O59" i="3" s="1"/>
  <c r="L76" i="3"/>
  <c r="M76" i="3" s="1"/>
  <c r="L82" i="3"/>
  <c r="M82" i="3" s="1"/>
  <c r="L87" i="3"/>
  <c r="M87" i="3" s="1"/>
  <c r="N87" i="3" s="1"/>
  <c r="O87" i="3" s="1"/>
  <c r="L88" i="3"/>
  <c r="M88" i="3" s="1"/>
  <c r="G55" i="3"/>
  <c r="G30" i="3"/>
  <c r="J40" i="3"/>
  <c r="N14" i="3"/>
  <c r="O14" i="3" s="1"/>
  <c r="F37" i="3"/>
  <c r="N38" i="3"/>
  <c r="O38" i="3" s="1"/>
  <c r="F39" i="3"/>
  <c r="F42" i="3"/>
  <c r="N43" i="3"/>
  <c r="O43" i="3" s="1"/>
  <c r="F44" i="3"/>
  <c r="N45" i="3"/>
  <c r="O45" i="3" s="1"/>
  <c r="F46" i="3"/>
  <c r="L47" i="3"/>
  <c r="M47" i="3" s="1"/>
  <c r="N47" i="3" s="1"/>
  <c r="O47" i="3" s="1"/>
  <c r="F48" i="3"/>
  <c r="F50" i="3"/>
  <c r="N53" i="3"/>
  <c r="O53" i="3" s="1"/>
  <c r="F54" i="3"/>
  <c r="N55" i="3"/>
  <c r="O55" i="3" s="1"/>
  <c r="L74" i="3"/>
  <c r="M74" i="3" s="1"/>
  <c r="L75" i="3"/>
  <c r="M75" i="3" s="1"/>
  <c r="L85" i="3"/>
  <c r="M85" i="3" s="1"/>
  <c r="G75" i="3"/>
  <c r="G39" i="3"/>
  <c r="G49" i="3"/>
  <c r="G59" i="3"/>
  <c r="G87" i="3"/>
  <c r="J51" i="3"/>
  <c r="N15" i="3"/>
  <c r="O15" i="3" s="1"/>
  <c r="N13" i="3"/>
  <c r="O13" i="3" s="1"/>
  <c r="N26" i="3"/>
  <c r="O26" i="3" s="1"/>
  <c r="N37" i="3"/>
  <c r="O37" i="3" s="1"/>
  <c r="N39" i="3"/>
  <c r="O39" i="3" s="1"/>
  <c r="N42" i="3"/>
  <c r="O42" i="3" s="1"/>
  <c r="N44" i="3"/>
  <c r="O44" i="3" s="1"/>
  <c r="N46" i="3"/>
  <c r="O46" i="3" s="1"/>
  <c r="N50" i="3"/>
  <c r="O50" i="3" s="1"/>
  <c r="L73" i="3"/>
  <c r="M73" i="3" s="1"/>
  <c r="L77" i="3"/>
  <c r="M77" i="3" s="1"/>
  <c r="L84" i="3"/>
  <c r="M84" i="3" s="1"/>
  <c r="L90" i="3"/>
  <c r="M90" i="3" s="1"/>
  <c r="G76" i="3"/>
  <c r="G20" i="3"/>
  <c r="N28" i="3"/>
  <c r="O28" i="3" s="1"/>
  <c r="G72" i="3"/>
  <c r="G19" i="3"/>
  <c r="K93" i="3"/>
  <c r="G37" i="3"/>
  <c r="G43" i="3"/>
  <c r="G47" i="3"/>
  <c r="G53" i="3"/>
  <c r="G57" i="3"/>
  <c r="G61" i="3"/>
  <c r="G78" i="3"/>
  <c r="G89" i="3"/>
  <c r="G85" i="3"/>
  <c r="G26" i="3"/>
  <c r="G18" i="3"/>
  <c r="G74" i="3"/>
  <c r="N18" i="3"/>
  <c r="O18" i="3" s="1"/>
  <c r="N31" i="3"/>
  <c r="O31" i="3" s="1"/>
  <c r="N19" i="3"/>
  <c r="O19" i="3" s="1"/>
  <c r="N32" i="3"/>
  <c r="O32" i="3" s="1"/>
  <c r="N54" i="3"/>
  <c r="O54" i="3" s="1"/>
  <c r="N57" i="3"/>
  <c r="O57" i="3" s="1"/>
  <c r="N58" i="3"/>
  <c r="O58" i="3" s="1"/>
  <c r="N72" i="3"/>
  <c r="L40" i="3"/>
  <c r="M49" i="3"/>
  <c r="N49" i="3" s="1"/>
  <c r="O49" i="3" s="1"/>
  <c r="N30" i="3"/>
  <c r="O30" i="3" s="1"/>
  <c r="N36" i="3"/>
  <c r="O36" i="3" s="1"/>
  <c r="I16" i="3"/>
  <c r="L63" i="3"/>
  <c r="M56" i="3"/>
  <c r="N56" i="3" s="1"/>
  <c r="O56" i="3" s="1"/>
  <c r="M65" i="3"/>
  <c r="N65" i="3" s="1"/>
  <c r="O65" i="3" s="1"/>
  <c r="O66" i="3" s="1"/>
  <c r="N66" i="3" s="1"/>
  <c r="L66" i="3"/>
  <c r="M71" i="3"/>
  <c r="I93" i="3"/>
  <c r="G73" i="3"/>
  <c r="G77" i="3"/>
  <c r="G32" i="3"/>
  <c r="G38" i="3"/>
  <c r="G36" i="3"/>
  <c r="G42" i="3"/>
  <c r="G44" i="3"/>
  <c r="G46" i="3"/>
  <c r="G48" i="3"/>
  <c r="G50" i="3"/>
  <c r="G54" i="3"/>
  <c r="G56" i="3"/>
  <c r="G58" i="3"/>
  <c r="G60" i="3"/>
  <c r="G62" i="3"/>
  <c r="G79" i="3"/>
  <c r="G90" i="3"/>
  <c r="G88" i="3"/>
  <c r="G86" i="3"/>
  <c r="G84" i="3"/>
  <c r="G82" i="3"/>
  <c r="G27" i="3"/>
  <c r="G29" i="3"/>
  <c r="G31" i="3"/>
  <c r="G34" i="3" l="1"/>
  <c r="N75" i="3"/>
  <c r="O34" i="3"/>
  <c r="L34" i="3"/>
  <c r="F34" i="3"/>
  <c r="N78" i="3"/>
  <c r="O78" i="3" s="1"/>
  <c r="N88" i="3"/>
  <c r="O88" i="3" s="1"/>
  <c r="D14" i="2"/>
  <c r="L51" i="3"/>
  <c r="N89" i="3"/>
  <c r="O89" i="3" s="1"/>
  <c r="E17" i="2"/>
  <c r="N85" i="3"/>
  <c r="O85" i="3" s="1"/>
  <c r="N71" i="3"/>
  <c r="O71" i="3" s="1"/>
  <c r="F40" i="3"/>
  <c r="F80" i="3"/>
  <c r="J12" i="2" s="1"/>
  <c r="N73" i="3"/>
  <c r="O73" i="3" s="1"/>
  <c r="J93" i="3"/>
  <c r="N90" i="3"/>
  <c r="O90" i="3" s="1"/>
  <c r="J68" i="3"/>
  <c r="D10" i="2" s="1"/>
  <c r="F63" i="3"/>
  <c r="F91" i="3"/>
  <c r="J13" i="2" s="1"/>
  <c r="N84" i="3"/>
  <c r="O84" i="3" s="1"/>
  <c r="N74" i="3"/>
  <c r="O74" i="3" s="1"/>
  <c r="L80" i="3"/>
  <c r="F12" i="2" s="1"/>
  <c r="N77" i="3"/>
  <c r="O77" i="3" s="1"/>
  <c r="N82" i="3"/>
  <c r="O82" i="3" s="1"/>
  <c r="N83" i="3"/>
  <c r="O83" i="3" s="1"/>
  <c r="N76" i="3"/>
  <c r="O76" i="3" s="1"/>
  <c r="N86" i="3"/>
  <c r="O86" i="3" s="1"/>
  <c r="A13" i="2"/>
  <c r="L12" i="2"/>
  <c r="O75" i="3"/>
  <c r="O51" i="3"/>
  <c r="N51" i="3" s="1"/>
  <c r="O16" i="3"/>
  <c r="N16" i="3" s="1"/>
  <c r="F51" i="3"/>
  <c r="K101" i="3"/>
  <c r="O63" i="3"/>
  <c r="N63" i="3" s="1"/>
  <c r="O72" i="3"/>
  <c r="L91" i="3"/>
  <c r="F13" i="2" s="1"/>
  <c r="L16" i="3"/>
  <c r="B91" i="3"/>
  <c r="H13" i="2" s="1"/>
  <c r="G91" i="3"/>
  <c r="K13" i="2" s="1"/>
  <c r="I68" i="3"/>
  <c r="B16" i="3"/>
  <c r="G40" i="3"/>
  <c r="G51" i="3"/>
  <c r="O40" i="3"/>
  <c r="G80" i="3"/>
  <c r="G63" i="3"/>
  <c r="D17" i="2" l="1"/>
  <c r="F93" i="3"/>
  <c r="J101" i="3"/>
  <c r="J14" i="2"/>
  <c r="F14" i="2"/>
  <c r="L68" i="3"/>
  <c r="F10" i="2" s="1"/>
  <c r="O91" i="3"/>
  <c r="L93" i="3"/>
  <c r="A14" i="2"/>
  <c r="L13" i="2"/>
  <c r="N79" i="3"/>
  <c r="N34" i="3"/>
  <c r="F16" i="3"/>
  <c r="F68" i="3" s="1"/>
  <c r="J10" i="2" s="1"/>
  <c r="G16" i="3"/>
  <c r="G68" i="3" s="1"/>
  <c r="N40" i="3"/>
  <c r="O68" i="3"/>
  <c r="B68" i="3"/>
  <c r="C10" i="2"/>
  <c r="C17" i="2" s="1"/>
  <c r="I101" i="3"/>
  <c r="K12" i="2"/>
  <c r="K14" i="2" s="1"/>
  <c r="G93" i="3"/>
  <c r="F17" i="2" l="1"/>
  <c r="L101" i="3"/>
  <c r="N91" i="3"/>
  <c r="G13" i="2"/>
  <c r="I13" i="2" s="1"/>
  <c r="L14" i="2"/>
  <c r="O79" i="3"/>
  <c r="O80" i="3" s="1"/>
  <c r="N80" i="3" s="1"/>
  <c r="B80" i="3"/>
  <c r="F101" i="3"/>
  <c r="J17" i="2"/>
  <c r="G10" i="2"/>
  <c r="N68" i="3"/>
  <c r="H10" i="2"/>
  <c r="K10" i="2"/>
  <c r="G101" i="3"/>
  <c r="I10" i="2" l="1"/>
  <c r="A18" i="2"/>
  <c r="K17" i="2"/>
  <c r="H12" i="2"/>
  <c r="B93" i="3"/>
  <c r="B101" i="3" s="1"/>
  <c r="G12" i="2"/>
  <c r="O93" i="3"/>
  <c r="O101" i="3" s="1"/>
  <c r="P13" i="3"/>
  <c r="H14" i="2" l="1"/>
  <c r="H17" i="2" s="1"/>
  <c r="I12" i="2"/>
  <c r="G14" i="2"/>
  <c r="L17" i="2"/>
  <c r="L18" i="2"/>
  <c r="N93" i="3"/>
  <c r="N101" i="3"/>
  <c r="A15" i="3"/>
  <c r="P14" i="3"/>
  <c r="I14" i="2" l="1"/>
  <c r="G17" i="2"/>
  <c r="I17" i="2" s="1"/>
  <c r="P15" i="3"/>
  <c r="A16" i="3"/>
  <c r="A17" i="3" l="1"/>
  <c r="P16" i="3"/>
  <c r="A18" i="3" l="1"/>
  <c r="A19" i="3" s="1"/>
  <c r="P17" i="3"/>
  <c r="A20" i="3" l="1"/>
  <c r="A21" i="3" s="1"/>
  <c r="A22" i="3" s="1"/>
  <c r="A23" i="3" s="1"/>
  <c r="A24" i="3" s="1"/>
  <c r="A25" i="3" s="1"/>
  <c r="A26" i="3" s="1"/>
  <c r="A27" i="3" s="1"/>
  <c r="P23" i="3" l="1"/>
  <c r="P18" i="3"/>
  <c r="P19" i="3" l="1"/>
  <c r="P20" i="3" l="1"/>
  <c r="P21" i="3" l="1"/>
  <c r="P22" i="3" l="1"/>
  <c r="P27" i="3" l="1"/>
  <c r="A28" i="3"/>
  <c r="P28" i="3" l="1"/>
  <c r="A29" i="3"/>
  <c r="A30" i="3" l="1"/>
  <c r="A31" i="3" s="1"/>
  <c r="P29" i="3"/>
  <c r="A32" i="3" l="1"/>
  <c r="P31" i="3"/>
  <c r="P30" i="3"/>
  <c r="A33" i="3" l="1"/>
  <c r="P32" i="3"/>
  <c r="P33" i="3" l="1"/>
  <c r="P34" i="3" l="1"/>
  <c r="P35" i="3" l="1"/>
  <c r="P36" i="3" l="1"/>
  <c r="A37" i="3"/>
  <c r="A38" i="3" l="1"/>
  <c r="P37" i="3"/>
  <c r="A39" i="3" l="1"/>
  <c r="P38" i="3"/>
  <c r="A40" i="3" l="1"/>
  <c r="P39" i="3"/>
  <c r="A41" i="3" l="1"/>
  <c r="P40" i="3"/>
  <c r="A42" i="3" l="1"/>
  <c r="P41" i="3"/>
  <c r="A43" i="3" l="1"/>
  <c r="P42" i="3"/>
  <c r="A44" i="3" l="1"/>
  <c r="P43" i="3"/>
  <c r="A45" i="3" l="1"/>
  <c r="P44" i="3"/>
  <c r="P45" i="3" l="1"/>
  <c r="A46" i="3"/>
  <c r="P46" i="3" l="1"/>
  <c r="A47" i="3"/>
  <c r="P47" i="3" l="1"/>
  <c r="A48" i="3"/>
  <c r="P48" i="3" l="1"/>
  <c r="A49" i="3"/>
  <c r="A50" i="3" l="1"/>
  <c r="P49" i="3"/>
  <c r="A51" i="3" l="1"/>
  <c r="P50" i="3"/>
  <c r="P51" i="3" l="1"/>
  <c r="A52" i="3"/>
  <c r="A53" i="3" l="1"/>
  <c r="P52" i="3"/>
  <c r="A54" i="3" l="1"/>
  <c r="P53" i="3"/>
  <c r="A55" i="3" l="1"/>
  <c r="P54" i="3"/>
  <c r="P55" i="3" l="1"/>
  <c r="A56" i="3"/>
  <c r="P56" i="3" l="1"/>
  <c r="A57" i="3"/>
  <c r="P57" i="3" l="1"/>
  <c r="A58" i="3"/>
  <c r="P58" i="3" l="1"/>
  <c r="A59" i="3"/>
  <c r="P59" i="3" l="1"/>
  <c r="A60" i="3"/>
  <c r="P60" i="3" l="1"/>
  <c r="A61" i="3"/>
  <c r="A62" i="3" l="1"/>
  <c r="P61" i="3"/>
  <c r="A63" i="3" l="1"/>
  <c r="P62" i="3"/>
  <c r="A64" i="3" l="1"/>
  <c r="P63" i="3"/>
  <c r="P64" i="3" l="1"/>
  <c r="A65" i="3"/>
  <c r="P65" i="3" l="1"/>
  <c r="A66" i="3"/>
  <c r="A67" i="3" l="1"/>
  <c r="P66" i="3"/>
  <c r="P67" i="3" l="1"/>
  <c r="A68" i="3"/>
  <c r="A69" i="3" l="1"/>
  <c r="P68" i="3"/>
  <c r="P69" i="3" l="1"/>
  <c r="A70" i="3"/>
  <c r="A71" i="3" l="1"/>
  <c r="P70" i="3"/>
  <c r="A72" i="3" l="1"/>
  <c r="P71" i="3"/>
  <c r="A73" i="3" l="1"/>
  <c r="P72" i="3"/>
  <c r="A74" i="3" l="1"/>
  <c r="P73" i="3"/>
  <c r="A75" i="3" l="1"/>
  <c r="P74" i="3"/>
  <c r="A76" i="3" l="1"/>
  <c r="P75" i="3"/>
  <c r="A77" i="3" l="1"/>
  <c r="P76" i="3"/>
  <c r="A78" i="3" l="1"/>
  <c r="P77" i="3"/>
  <c r="A79" i="3" l="1"/>
  <c r="P78" i="3"/>
  <c r="A80" i="3" l="1"/>
  <c r="P79" i="3"/>
  <c r="P80" i="3" l="1"/>
  <c r="A81" i="3"/>
  <c r="A82" i="3" l="1"/>
  <c r="P81" i="3"/>
  <c r="A83" i="3" l="1"/>
  <c r="P82" i="3"/>
  <c r="A84" i="3" l="1"/>
  <c r="P83" i="3"/>
  <c r="P84" i="3" l="1"/>
  <c r="A85" i="3"/>
  <c r="A86" i="3" l="1"/>
  <c r="P85" i="3"/>
  <c r="P86" i="3" l="1"/>
  <c r="A87" i="3"/>
  <c r="P87" i="3" l="1"/>
  <c r="A88" i="3"/>
  <c r="P88" i="3" l="1"/>
  <c r="A89" i="3"/>
  <c r="A90" i="3" l="1"/>
  <c r="P89" i="3"/>
  <c r="A91" i="3" l="1"/>
  <c r="P90" i="3"/>
  <c r="A92" i="3" l="1"/>
  <c r="P91" i="3"/>
  <c r="A93" i="3" l="1"/>
  <c r="P92" i="3"/>
  <c r="A94" i="3" l="1"/>
  <c r="P93" i="3"/>
  <c r="P94" i="3" l="1"/>
  <c r="A95" i="3"/>
  <c r="P95" i="3" l="1"/>
  <c r="A96" i="3"/>
  <c r="A97" i="3" l="1"/>
  <c r="P96" i="3"/>
  <c r="A98" i="3" l="1"/>
  <c r="P97" i="3"/>
  <c r="P98" i="3" l="1"/>
  <c r="A99" i="3"/>
  <c r="P99" i="3" l="1"/>
  <c r="A100" i="3"/>
  <c r="A101" i="3" l="1"/>
  <c r="P100" i="3"/>
  <c r="P101" i="3" l="1"/>
  <c r="A102" i="3"/>
  <c r="P102" i="3" s="1"/>
</calcChain>
</file>

<file path=xl/sharedStrings.xml><?xml version="1.0" encoding="utf-8"?>
<sst xmlns="http://schemas.openxmlformats.org/spreadsheetml/2006/main" count="164" uniqueCount="121">
  <si>
    <t>PACIFICORP</t>
  </si>
  <si>
    <t>Electric Operations</t>
  </si>
  <si>
    <t>AMOUNT</t>
  </si>
  <si>
    <t>LINE</t>
  </si>
  <si>
    <t>CURRENTLY</t>
  </si>
  <si>
    <t>ISSUANCE</t>
  </si>
  <si>
    <t>REDEMPTION</t>
  </si>
  <si>
    <t>NET PROCEEDS</t>
  </si>
  <si>
    <t>ANNUAL DEBT</t>
  </si>
  <si>
    <t xml:space="preserve"> NO.</t>
  </si>
  <si>
    <t>DESCRIPTION</t>
  </si>
  <si>
    <t>OUTSTANDING</t>
  </si>
  <si>
    <t>EXPENSES</t>
  </si>
  <si>
    <t>TO COMPANY</t>
  </si>
  <si>
    <t>SERVICE COST</t>
  </si>
  <si>
    <t xml:space="preserve"> </t>
  </si>
  <si>
    <t>Subtotal - Pollution Control Revenue Bonds</t>
  </si>
  <si>
    <t/>
  </si>
  <si>
    <t>NET PROCEEDS TO COMPANY</t>
  </si>
  <si>
    <t>MONEY TO</t>
  </si>
  <si>
    <t>INTEREST</t>
  </si>
  <si>
    <t>TOTAL</t>
  </si>
  <si>
    <t>PER $100</t>
  </si>
  <si>
    <t>COMPANY</t>
  </si>
  <si>
    <t>RATE</t>
  </si>
  <si>
    <t>MATURITY</t>
  </si>
  <si>
    <t>ORIGINAL</t>
  </si>
  <si>
    <t>DOLLAR</t>
  </si>
  <si>
    <t>PRINCIPAL</t>
  </si>
  <si>
    <t>DATE</t>
  </si>
  <si>
    <t>LIFE</t>
  </si>
  <si>
    <t>ISSUE</t>
  </si>
  <si>
    <t>First Mortgage Bonds</t>
  </si>
  <si>
    <t xml:space="preserve">  Series C due Dec 2021</t>
  </si>
  <si>
    <t xml:space="preserve">  Series C due Jan 2022</t>
  </si>
  <si>
    <t xml:space="preserve">  Series E due Sep 2022</t>
  </si>
  <si>
    <t xml:space="preserve">  Series E due Oct 2022</t>
  </si>
  <si>
    <t xml:space="preserve">  Series E due Jan 2023</t>
  </si>
  <si>
    <t xml:space="preserve">  Series F due Jul 2023</t>
  </si>
  <si>
    <t xml:space="preserve">  Series F due Aug 2023</t>
  </si>
  <si>
    <t xml:space="preserve">  Series F due Sep 2023</t>
  </si>
  <si>
    <t xml:space="preserve">  Series F due Oct 2023</t>
  </si>
  <si>
    <t xml:space="preserve">  Series G due Jan 2026</t>
  </si>
  <si>
    <t xml:space="preserve">  Sweetwater 90A due Jul 2015</t>
  </si>
  <si>
    <t xml:space="preserve">  Lincoln 91 due Jan 2016</t>
  </si>
  <si>
    <t xml:space="preserve">  Sweetwater 88A due Jan 2017</t>
  </si>
  <si>
    <t xml:space="preserve">  Gillette 88 due Jan 2018</t>
  </si>
  <si>
    <t>(a)</t>
  </si>
  <si>
    <t>(b)</t>
  </si>
  <si>
    <t>Total First Mortgage Bonds</t>
  </si>
  <si>
    <t>Total Cost of Long Term Debt</t>
  </si>
  <si>
    <t xml:space="preserve">  Series due Nov 2031</t>
  </si>
  <si>
    <t xml:space="preserve">  Series due Aug 2034</t>
  </si>
  <si>
    <t xml:space="preserve">  Series due Jun 2035</t>
  </si>
  <si>
    <t xml:space="preserve">  Emery 91 due Jul 2015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</si>
  <si>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</si>
  <si>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</si>
  <si>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</si>
  <si>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</si>
  <si>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</si>
  <si>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</si>
  <si>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</si>
  <si>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</si>
  <si>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</si>
  <si>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</si>
  <si>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</si>
  <si>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</si>
  <si>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 xml:space="preserve">  C-U Series due thru Oct 2015</t>
  </si>
  <si>
    <t xml:space="preserve">  C-U Series due thru Oct 2016</t>
  </si>
  <si>
    <t xml:space="preserve">  C-U Series due thru Oct 2017</t>
  </si>
  <si>
    <t>Subtotal - Series C MTNs</t>
  </si>
  <si>
    <t>Subtotal - Series E MTNs</t>
  </si>
  <si>
    <t>Subtotal - Series F MTNs</t>
  </si>
  <si>
    <t>Subtotal - Series G MTNs</t>
  </si>
  <si>
    <t>Pollution Control Revenue Bonds</t>
  </si>
  <si>
    <t xml:space="preserve">  Forsyth 88 due Jan 2018</t>
  </si>
  <si>
    <t xml:space="preserve">  Carbon 94 due Nov 2024</t>
  </si>
  <si>
    <t xml:space="preserve">  Converse 94 due Nov 2024</t>
  </si>
  <si>
    <t xml:space="preserve">  Emery 94 due Nov 2024</t>
  </si>
  <si>
    <t xml:space="preserve">  Lincoln 94 due Nov 2024</t>
  </si>
  <si>
    <t xml:space="preserve">  Sweetwater 94 due Nov 2024</t>
  </si>
  <si>
    <t>Total PCRB Obligations</t>
  </si>
  <si>
    <t xml:space="preserve">  Forsyth 86 due Dec 2016</t>
  </si>
  <si>
    <t xml:space="preserve">  Converse 95 due Nov 2025</t>
  </si>
  <si>
    <t xml:space="preserve">  Lincoln 95 due Nov 2025</t>
  </si>
  <si>
    <t xml:space="preserve">  Sweetwater 95 due Nov 2025</t>
  </si>
  <si>
    <t>Total Long-Term Debt</t>
  </si>
  <si>
    <t>Subtotal - Amortizing FMBs</t>
  </si>
  <si>
    <t>Subtotal - Bullet FMBs</t>
  </si>
  <si>
    <t>Total Pollution Control Revenue Bonds</t>
  </si>
  <si>
    <t>ALL-IN</t>
  </si>
  <si>
    <t>COST</t>
  </si>
  <si>
    <t>ORIG</t>
  </si>
  <si>
    <t>YTM</t>
  </si>
  <si>
    <t xml:space="preserve">  Sweetwater 92A due Dec 2020</t>
  </si>
  <si>
    <t xml:space="preserve">  Sweetwater 92B due Dec 2020</t>
  </si>
  <si>
    <t xml:space="preserve">  Converse 92 due Dec 2020</t>
  </si>
  <si>
    <t>PRINCIPAL AMOUNT</t>
  </si>
  <si>
    <t>Subtotal - Secured PCRBs</t>
  </si>
  <si>
    <t>Subtotal - Unsecured PCRBs</t>
  </si>
  <si>
    <t>Subtotal - Pollution Control Revenue Bonds secured by FMBs</t>
  </si>
  <si>
    <t xml:space="preserve">  Series due Aug 2036</t>
  </si>
  <si>
    <t xml:space="preserve">  Series due Apr 2037</t>
  </si>
  <si>
    <t xml:space="preserve">  Series due Oct 2037</t>
  </si>
  <si>
    <t xml:space="preserve">  Series due Jul 2018</t>
  </si>
  <si>
    <t xml:space="preserve">  Series due Jul 2038</t>
  </si>
  <si>
    <t xml:space="preserve">  Series due Jan 2019</t>
  </si>
  <si>
    <t xml:space="preserve">  Series due Jan 2039</t>
  </si>
  <si>
    <t xml:space="preserve">  Series due Jun 2021</t>
  </si>
  <si>
    <t xml:space="preserve">  Series due Feb 2022</t>
  </si>
  <si>
    <t xml:space="preserve">  Series due Feb 2042</t>
  </si>
  <si>
    <t xml:space="preserve">  Series due Jun 2023</t>
  </si>
  <si>
    <t>Loss on Long Term Debt Reacquistions, without Refunding</t>
  </si>
  <si>
    <t>REACQ</t>
  </si>
  <si>
    <t>ORG MAT</t>
  </si>
  <si>
    <t>8.375% Series A QUIDS</t>
  </si>
  <si>
    <t>8.55% Series B QUIDS</t>
  </si>
  <si>
    <t>Long-Term Debt Reacquisition, without refunding amortization</t>
  </si>
  <si>
    <t>Pro Forma Cost of Long-Term Debt Summary</t>
  </si>
  <si>
    <t>Pro FormaCost of Long-Term Debt Detail</t>
  </si>
  <si>
    <t xml:space="preserve">  Series due Apr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</si>
</sst>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4" formatCode="0_);[Red]\-0_)"/>
    <numFmt numFmtId="165" formatCode="0.000%;[Red]\-0.000%"/>
    <numFmt numFmtId="166" formatCode="mm/dd/yy_)"/>
    <numFmt numFmtId="167" formatCode="0_)"/>
    <numFmt numFmtId="168" formatCode="0.000%"/>
    <numFmt numFmtId="169" formatCode="mm/dd/yy_);[Red]mm/dd/yy_)"/>
    <numFmt numFmtId="170" formatCode="_(* #,##0.0_);_(* \(#,##0.0\);_(* &quot;-&quot;??_);_(@_)"/>
    <numFmt numFmtId="171" formatCode="&quot;$&quot;#,##0.000_);[Red]\(&quot;$&quot;#,##0.000\)"/>
    <numFmt numFmtId="172" formatCode="[$-409]mmmm\ d\,\ yyyy;@"/>
  </numFmts>
  <fonts count="17">
    <font>
      <sz val="10"/>
      <name val="Arial MT"/>
    </font>
    <font>
      <sz val="10"/>
      <name val="Arial"/>
      <family val="2"/>
    </font>
    <font>
      <b/>
      <sz val="10"/>
      <name val="CG Times (WN)"/>
      <family val="1"/>
    </font>
    <font>
      <sz val="10"/>
      <name val="CG Times (WN)"/>
      <family val="1"/>
    </font>
    <font>
      <sz val="8"/>
      <name val="Arial MT"/>
    </font>
    <font>
      <sz val="10"/>
      <name val="CG Times (WN)"/>
    </font>
    <font>
      <b/>
      <sz val="10"/>
      <name val="Arial MT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9"/>
      <name val="Times New Roman"/>
      <family val="1"/>
    </font>
    <font>
      <sz val="10"/>
      <color indexed="12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8"/>
      <color indexed="8"/>
      <name val="Times New Roman"/>
      <family val="1"/>
    </font>
    <font>
      <sz val="8"/>
      <color indexed="12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12"/>
      </right>
      <top style="thin">
        <color indexed="64"/>
      </top>
      <bottom/>
      <diagonal/>
    </border>
  </borders>
  <cellStyleXfs count="3">
    <xf numFmtId="6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0">
    <xf numFmtId="6" fontId="0" fillId="0" borderId="0" xfId="0"/>
    <xf numFmtId="6" fontId="3" fillId="0" borderId="0" xfId="0" applyFont="1"/>
    <xf numFmtId="6" fontId="3" fillId="0" borderId="0" xfId="0" applyFont="1" applyBorder="1"/>
    <xf numFmtId="6" fontId="3" fillId="0" borderId="0" xfId="0" applyFont="1" applyBorder="1" applyProtection="1"/>
    <xf numFmtId="6" fontId="2" fillId="0" borderId="0" xfId="0" applyFont="1" applyBorder="1"/>
    <xf numFmtId="6" fontId="0" fillId="0" borderId="0" xfId="0" applyBorder="1"/>
    <xf numFmtId="6" fontId="0" fillId="0" borderId="0" xfId="0" applyAlignment="1">
      <alignment horizontal="center"/>
    </xf>
    <xf numFmtId="6" fontId="7" fillId="0" borderId="0" xfId="0" applyFont="1"/>
    <xf numFmtId="6" fontId="7" fillId="0" borderId="0" xfId="0" applyFont="1" applyBorder="1"/>
    <xf numFmtId="6" fontId="10" fillId="0" borderId="0" xfId="0" applyFont="1" applyFill="1" applyBorder="1" applyAlignment="1">
      <alignment horizontal="center"/>
    </xf>
    <xf numFmtId="166" fontId="7" fillId="0" borderId="0" xfId="0" applyNumberFormat="1" applyFont="1" applyBorder="1" applyAlignment="1" applyProtection="1">
      <alignment horizontal="center"/>
    </xf>
    <xf numFmtId="167" fontId="7" fillId="0" borderId="0" xfId="0" applyNumberFormat="1" applyFont="1" applyBorder="1" applyAlignment="1" applyProtection="1">
      <alignment horizontal="center"/>
    </xf>
    <xf numFmtId="6" fontId="11" fillId="0" borderId="0" xfId="0" applyFont="1" applyFill="1" applyBorder="1"/>
    <xf numFmtId="5" fontId="7" fillId="0" borderId="0" xfId="0" applyNumberFormat="1" applyFont="1" applyBorder="1"/>
    <xf numFmtId="5" fontId="7" fillId="0" borderId="0" xfId="0" applyNumberFormat="1" applyFont="1" applyFill="1" applyBorder="1" applyProtection="1"/>
    <xf numFmtId="168" fontId="7" fillId="0" borderId="0" xfId="0" applyNumberFormat="1" applyFont="1" applyBorder="1" applyProtection="1"/>
    <xf numFmtId="5" fontId="7" fillId="0" borderId="0" xfId="0" applyNumberFormat="1" applyFont="1" applyBorder="1" applyProtection="1"/>
    <xf numFmtId="5" fontId="9" fillId="0" borderId="0" xfId="0" applyNumberFormat="1" applyFont="1" applyFill="1" applyBorder="1" applyAlignment="1" applyProtection="1">
      <alignment horizontal="right"/>
    </xf>
    <xf numFmtId="6" fontId="7" fillId="0" borderId="0" xfId="0" applyFont="1" applyAlignment="1">
      <alignment horizontal="center"/>
    </xf>
    <xf numFmtId="168" fontId="3" fillId="0" borderId="0" xfId="2" applyNumberFormat="1" applyFont="1" applyFill="1" applyBorder="1" applyAlignment="1" applyProtection="1">
      <alignment horizontal="center"/>
      <protection locked="0"/>
    </xf>
    <xf numFmtId="6" fontId="7" fillId="0" borderId="0" xfId="0" applyFont="1" applyFill="1" applyBorder="1"/>
    <xf numFmtId="6" fontId="8" fillId="0" borderId="0" xfId="0" applyFont="1" applyFill="1" applyBorder="1"/>
    <xf numFmtId="6" fontId="10" fillId="0" borderId="0" xfId="0" applyFont="1" applyFill="1" applyBorder="1"/>
    <xf numFmtId="6" fontId="7" fillId="0" borderId="0" xfId="0" applyFont="1" applyFill="1" applyBorder="1" applyAlignment="1">
      <alignment horizontal="center"/>
    </xf>
    <xf numFmtId="166" fontId="7" fillId="0" borderId="0" xfId="0" applyNumberFormat="1" applyFont="1" applyFill="1" applyBorder="1" applyAlignment="1" applyProtection="1">
      <alignment horizontal="center"/>
    </xf>
    <xf numFmtId="6" fontId="7" fillId="0" borderId="0" xfId="0" applyFont="1" applyFill="1"/>
    <xf numFmtId="6" fontId="0" fillId="0" borderId="0" xfId="0" applyBorder="1" applyAlignment="1">
      <alignment horizontal="center"/>
    </xf>
    <xf numFmtId="169" fontId="3" fillId="0" borderId="0" xfId="0" applyNumberFormat="1" applyFont="1" applyFill="1" applyBorder="1" applyAlignment="1" applyProtection="1">
      <alignment horizontal="center"/>
      <protection locked="0"/>
    </xf>
    <xf numFmtId="6" fontId="3" fillId="0" borderId="0" xfId="0" applyNumberFormat="1" applyFont="1" applyFill="1" applyBorder="1" applyProtection="1"/>
    <xf numFmtId="6" fontId="12" fillId="0" borderId="0" xfId="0" applyFont="1" applyBorder="1" applyAlignment="1">
      <alignment horizontal="center"/>
    </xf>
    <xf numFmtId="6" fontId="13" fillId="0" borderId="0" xfId="0" applyFont="1" applyBorder="1"/>
    <xf numFmtId="6" fontId="6" fillId="0" borderId="0" xfId="0" applyFont="1"/>
    <xf numFmtId="6" fontId="6" fillId="0" borderId="0" xfId="0" applyFont="1" applyBorder="1"/>
    <xf numFmtId="168" fontId="6" fillId="0" borderId="0" xfId="2" applyNumberFormat="1" applyFont="1" applyBorder="1"/>
    <xf numFmtId="6" fontId="2" fillId="0" borderId="0" xfId="0" applyFont="1" applyBorder="1" applyProtection="1"/>
    <xf numFmtId="168" fontId="0" fillId="0" borderId="0" xfId="0" applyNumberFormat="1" applyBorder="1"/>
    <xf numFmtId="168" fontId="0" fillId="0" borderId="0" xfId="2" applyNumberFormat="1" applyFont="1" applyBorder="1"/>
    <xf numFmtId="43" fontId="0" fillId="0" borderId="0" xfId="1" applyNumberFormat="1" applyFont="1"/>
    <xf numFmtId="6" fontId="6" fillId="0" borderId="0" xfId="0" applyNumberFormat="1" applyFont="1" applyBorder="1"/>
    <xf numFmtId="6" fontId="8" fillId="0" borderId="0" xfId="0" applyNumberFormat="1" applyFont="1" applyFill="1" applyBorder="1"/>
    <xf numFmtId="168" fontId="6" fillId="0" borderId="0" xfId="2" applyNumberFormat="1" applyFont="1" applyBorder="1" applyAlignment="1">
      <alignment horizontal="center"/>
    </xf>
    <xf numFmtId="168" fontId="0" fillId="0" borderId="0" xfId="2" applyNumberFormat="1" applyFont="1" applyBorder="1" applyAlignment="1">
      <alignment horizontal="center"/>
    </xf>
    <xf numFmtId="6" fontId="0" fillId="0" borderId="0" xfId="0" applyNumberFormat="1" applyBorder="1"/>
    <xf numFmtId="170" fontId="6" fillId="0" borderId="0" xfId="1" applyNumberFormat="1" applyFont="1" applyBorder="1"/>
    <xf numFmtId="170" fontId="0" fillId="0" borderId="0" xfId="0" applyNumberFormat="1" applyBorder="1"/>
    <xf numFmtId="170" fontId="0" fillId="0" borderId="0" xfId="1" applyNumberFormat="1" applyFont="1" applyBorder="1" applyAlignment="1">
      <alignment horizontal="center"/>
    </xf>
    <xf numFmtId="6" fontId="8" fillId="0" borderId="0" xfId="0" applyFont="1" applyFill="1" applyBorder="1" applyAlignment="1"/>
    <xf numFmtId="6" fontId="14" fillId="0" borderId="0" xfId="0" applyFont="1" applyFill="1" applyBorder="1" applyAlignment="1">
      <alignment horizontal="center"/>
    </xf>
    <xf numFmtId="6" fontId="14" fillId="0" borderId="0" xfId="0" applyFont="1" applyFill="1" applyBorder="1"/>
    <xf numFmtId="6" fontId="13" fillId="0" borderId="0" xfId="0" applyFont="1"/>
    <xf numFmtId="6" fontId="12" fillId="0" borderId="0" xfId="0" applyFont="1" applyBorder="1" applyProtection="1"/>
    <xf numFmtId="168" fontId="12" fillId="0" borderId="0" xfId="2" applyNumberFormat="1" applyFont="1" applyBorder="1"/>
    <xf numFmtId="6" fontId="13" fillId="0" borderId="0" xfId="0" applyFont="1" applyBorder="1" applyAlignment="1">
      <alignment horizontal="center"/>
    </xf>
    <xf numFmtId="164" fontId="15" fillId="0" borderId="0" xfId="0" applyNumberFormat="1" applyFont="1" applyBorder="1" applyAlignment="1" applyProtection="1">
      <alignment horizontal="center"/>
      <protection locked="0"/>
    </xf>
    <xf numFmtId="6" fontId="13" fillId="0" borderId="0" xfId="0" applyFont="1" applyBorder="1" applyProtection="1"/>
    <xf numFmtId="164" fontId="15" fillId="0" borderId="0" xfId="0" applyNumberFormat="1" applyFont="1" applyBorder="1" applyProtection="1">
      <protection locked="0"/>
    </xf>
    <xf numFmtId="43" fontId="12" fillId="0" borderId="0" xfId="1" applyFont="1" applyBorder="1" applyAlignment="1">
      <alignment horizontal="center"/>
    </xf>
    <xf numFmtId="170" fontId="6" fillId="0" borderId="0" xfId="1" applyNumberFormat="1" applyFont="1" applyBorder="1" applyAlignment="1">
      <alignment horizontal="center"/>
    </xf>
    <xf numFmtId="170" fontId="0" fillId="0" borderId="0" xfId="0" applyNumberFormat="1" applyBorder="1" applyAlignment="1">
      <alignment horizontal="center"/>
    </xf>
    <xf numFmtId="6" fontId="7" fillId="0" borderId="0" xfId="0" applyNumberFormat="1" applyFont="1" applyFill="1" applyBorder="1"/>
    <xf numFmtId="6" fontId="12" fillId="0" borderId="0" xfId="0" applyFont="1" applyFill="1" applyBorder="1" applyAlignment="1">
      <alignment horizontal="center"/>
    </xf>
    <xf numFmtId="6" fontId="3" fillId="0" borderId="0" xfId="0" quotePrefix="1" applyFont="1" applyFill="1" applyBorder="1"/>
    <xf numFmtId="43" fontId="6" fillId="0" borderId="0" xfId="1" applyFont="1" applyBorder="1"/>
    <xf numFmtId="168" fontId="7" fillId="0" borderId="0" xfId="0" applyNumberFormat="1" applyFont="1" applyFill="1" applyBorder="1" applyAlignment="1" applyProtection="1">
      <alignment horizontal="center"/>
    </xf>
    <xf numFmtId="167" fontId="7" fillId="0" borderId="0" xfId="0" applyNumberFormat="1" applyFont="1" applyFill="1" applyBorder="1" applyAlignment="1" applyProtection="1">
      <alignment horizontal="center"/>
    </xf>
    <xf numFmtId="171" fontId="7" fillId="0" borderId="0" xfId="0" applyNumberFormat="1" applyFont="1" applyFill="1" applyBorder="1"/>
    <xf numFmtId="165" fontId="5" fillId="0" borderId="0" xfId="0" applyNumberFormat="1" applyFont="1" applyFill="1" applyBorder="1" applyAlignment="1" applyProtection="1">
      <alignment horizontal="center"/>
      <protection locked="0"/>
    </xf>
    <xf numFmtId="169" fontId="5" fillId="0" borderId="0" xfId="0" applyNumberFormat="1" applyFont="1" applyFill="1" applyBorder="1" applyAlignment="1" applyProtection="1">
      <alignment horizontal="center"/>
      <protection locked="0"/>
    </xf>
    <xf numFmtId="168" fontId="7" fillId="0" borderId="0" xfId="0" applyNumberFormat="1" applyFont="1" applyFill="1" applyBorder="1" applyProtection="1"/>
    <xf numFmtId="168" fontId="8" fillId="0" borderId="0" xfId="2" applyNumberFormat="1" applyFont="1" applyFill="1" applyBorder="1" applyAlignment="1">
      <alignment horizontal="center"/>
    </xf>
    <xf numFmtId="167" fontId="8" fillId="0" borderId="0" xfId="0" applyNumberFormat="1" applyFont="1" applyFill="1" applyBorder="1" applyAlignment="1" applyProtection="1">
      <alignment horizontal="center"/>
    </xf>
    <xf numFmtId="168" fontId="8" fillId="0" borderId="0" xfId="2" applyNumberFormat="1" applyFont="1" applyFill="1" applyBorder="1"/>
    <xf numFmtId="5" fontId="7" fillId="0" borderId="0" xfId="0" applyNumberFormat="1" applyFont="1" applyFill="1" applyBorder="1"/>
    <xf numFmtId="6" fontId="3" fillId="0" borderId="0" xfId="0" applyFont="1" applyFill="1" applyBorder="1"/>
    <xf numFmtId="6" fontId="13" fillId="0" borderId="0" xfId="0" applyFont="1" applyFill="1"/>
    <xf numFmtId="6" fontId="12" fillId="0" borderId="0" xfId="0" applyFont="1" applyFill="1" applyBorder="1"/>
    <xf numFmtId="6" fontId="13" fillId="0" borderId="0" xfId="0" applyFont="1" applyFill="1" applyBorder="1"/>
    <xf numFmtId="6" fontId="7" fillId="0" borderId="0" xfId="0" applyFont="1" applyFill="1" applyBorder="1" applyProtection="1">
      <protection locked="0"/>
    </xf>
    <xf numFmtId="5" fontId="7" fillId="0" borderId="0" xfId="0" applyNumberFormat="1" applyFont="1" applyFill="1" applyBorder="1" applyAlignment="1" applyProtection="1">
      <alignment horizontal="right"/>
      <protection locked="0"/>
    </xf>
    <xf numFmtId="6" fontId="7" fillId="0" borderId="0" xfId="0" applyNumberFormat="1" applyFont="1" applyFill="1" applyBorder="1" applyProtection="1"/>
    <xf numFmtId="5" fontId="8" fillId="0" borderId="0" xfId="0" applyNumberFormat="1" applyFont="1" applyFill="1" applyBorder="1" applyAlignment="1" applyProtection="1">
      <alignment horizontal="right"/>
    </xf>
    <xf numFmtId="5" fontId="8" fillId="0" borderId="0" xfId="0" applyNumberFormat="1" applyFont="1" applyFill="1" applyBorder="1" applyProtection="1"/>
    <xf numFmtId="6" fontId="8" fillId="0" borderId="0" xfId="0" applyNumberFormat="1" applyFont="1" applyFill="1" applyBorder="1" applyProtection="1"/>
    <xf numFmtId="166" fontId="3" fillId="0" borderId="0" xfId="0" applyNumberFormat="1" applyFont="1" applyFill="1" applyBorder="1" applyAlignment="1" applyProtection="1">
      <alignment horizontal="center"/>
    </xf>
    <xf numFmtId="166" fontId="3" fillId="0" borderId="0" xfId="0" applyNumberFormat="1" applyFont="1" applyFill="1" applyBorder="1" applyProtection="1"/>
    <xf numFmtId="168" fontId="7" fillId="0" borderId="0" xfId="2" applyNumberFormat="1" applyFont="1" applyFill="1"/>
    <xf numFmtId="6" fontId="7" fillId="0" borderId="0" xfId="0" applyNumberFormat="1" applyFont="1" applyFill="1"/>
    <xf numFmtId="168" fontId="7" fillId="0" borderId="0" xfId="0" applyNumberFormat="1" applyFont="1" applyFill="1"/>
    <xf numFmtId="168" fontId="8" fillId="0" borderId="0" xfId="2" applyNumberFormat="1" applyFont="1" applyFill="1" applyBorder="1" applyAlignment="1" applyProtection="1">
      <alignment horizontal="center"/>
    </xf>
    <xf numFmtId="6" fontId="7" fillId="0" borderId="0" xfId="0" applyFont="1" applyFill="1" applyAlignment="1">
      <alignment horizontal="center"/>
    </xf>
    <xf numFmtId="6" fontId="16" fillId="2" borderId="0" xfId="0" applyFont="1" applyFill="1" applyBorder="1" applyAlignment="1">
      <alignment horizontal="center"/>
    </xf>
    <xf numFmtId="172" fontId="16" fillId="2" borderId="0" xfId="0" applyNumberFormat="1" applyFont="1" applyFill="1" applyBorder="1" applyAlignment="1" applyProtection="1">
      <alignment horizontal="center"/>
      <protection locked="0"/>
    </xf>
    <xf numFmtId="5" fontId="6" fillId="0" borderId="0" xfId="0" applyNumberFormat="1" applyFont="1" applyBorder="1"/>
    <xf numFmtId="5" fontId="0" fillId="0" borderId="0" xfId="0" applyNumberFormat="1" applyBorder="1"/>
    <xf numFmtId="6" fontId="16" fillId="2" borderId="1" xfId="0" applyFont="1" applyFill="1" applyBorder="1" applyAlignment="1">
      <alignment horizontal="center"/>
    </xf>
    <xf numFmtId="6" fontId="16" fillId="2" borderId="2" xfId="0" applyFont="1" applyFill="1" applyBorder="1" applyAlignment="1">
      <alignment horizontal="center"/>
    </xf>
    <xf numFmtId="6" fontId="16" fillId="2" borderId="3" xfId="0" applyFont="1" applyFill="1" applyBorder="1" applyAlignment="1">
      <alignment horizontal="center"/>
    </xf>
    <xf numFmtId="6" fontId="13" fillId="0" borderId="0" xfId="0" applyNumberFormat="1" applyFont="1" applyBorder="1"/>
    <xf numFmtId="6" fontId="12" fillId="0" borderId="0" xfId="0" applyFont="1" applyBorder="1" applyAlignment="1" applyProtection="1">
      <alignment horizontal="center"/>
    </xf>
    <xf numFmtId="167" fontId="11" fillId="0" borderId="0" xfId="0" applyNumberFormat="1" applyFont="1" applyBorder="1" applyAlignment="1" applyProtection="1">
      <alignment horizontal="center"/>
      <protection locked="0"/>
    </xf>
    <xf numFmtId="170" fontId="0" fillId="0" borderId="0" xfId="1" applyNumberFormat="1" applyFont="1" applyBorder="1" applyAlignment="1" applyProtection="1">
      <alignment horizontal="center"/>
    </xf>
    <xf numFmtId="5" fontId="7" fillId="0" borderId="0" xfId="0" applyNumberFormat="1" applyFont="1" applyFill="1" applyBorder="1" applyProtection="1">
      <protection locked="0"/>
    </xf>
    <xf numFmtId="6" fontId="3" fillId="0" borderId="0" xfId="0" applyNumberFormat="1" applyFont="1" applyFill="1" applyBorder="1" applyProtection="1">
      <protection locked="0"/>
    </xf>
    <xf numFmtId="6" fontId="5" fillId="0" borderId="0" xfId="0" applyNumberFormat="1" applyFont="1" applyFill="1" applyBorder="1" applyProtection="1">
      <protection locked="0"/>
    </xf>
    <xf numFmtId="5" fontId="8" fillId="0" borderId="0" xfId="0" applyNumberFormat="1" applyFont="1" applyFill="1" applyBorder="1"/>
    <xf numFmtId="5" fontId="3" fillId="0" borderId="0" xfId="0" applyNumberFormat="1" applyFont="1" applyFill="1" applyBorder="1" applyProtection="1"/>
    <xf numFmtId="6" fontId="12" fillId="0" borderId="0" xfId="0" applyFont="1" applyFill="1" applyBorder="1" applyAlignment="1">
      <alignment horizontal="center"/>
    </xf>
    <xf numFmtId="6" fontId="7" fillId="0" borderId="0" xfId="0" quotePrefix="1" applyFont="1" applyFill="1" applyBorder="1" applyAlignment="1">
      <alignment horizontal="center"/>
    </xf>
    <xf numFmtId="167" fontId="11" fillId="0" borderId="0" xfId="0" applyNumberFormat="1" applyFont="1" applyFill="1" applyBorder="1" applyAlignment="1" applyProtection="1">
      <alignment horizontal="center"/>
      <protection locked="0"/>
    </xf>
    <xf numFmtId="167" fontId="11" fillId="0" borderId="0" xfId="0" applyNumberFormat="1" applyFont="1" applyFill="1" applyBorder="1" applyProtection="1"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9</xdr:row>
      <xdr:rowOff>66675</xdr:rowOff>
    </xdr:from>
    <xdr:to>
      <xdr:col>16</xdr:col>
      <xdr:colOff>0</xdr:colOff>
      <xdr:row>9</xdr:row>
      <xdr:rowOff>66675</xdr:rowOff>
    </xdr:to>
    <xdr:sp macro="" textlink="" fLocksText="0">
      <xdr:nvSpPr>
        <xdr:cNvPr id="2059" name="Line 1"/>
        <xdr:cNvSpPr>
          <a:spLocks noChangeShapeType="1"/>
        </xdr:cNvSpPr>
      </xdr:nvSpPr>
      <xdr:spPr bwMode="auto">
        <a:xfrm>
          <a:off x="13096875" y="1657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2">
    <pageSetUpPr fitToPage="1"/>
  </sheetPr>
  <dimension ref="A1:L28"/>
  <sheetViews>
    <sheetView tabSelected="1" defaultGridColor="0" colorId="22" zoomScale="85" workbookViewId="0">
      <selection activeCell="B35" sqref="B35"/>
    </sheetView>
  </sheetViews>
  <sheetFormatPr defaultColWidth="16.7109375" defaultRowHeight="12.75"/>
  <cols>
    <col min="1" max="1" width="5.5703125" bestFit="1" customWidth="1"/>
    <col min="2" max="2" width="50" bestFit="1" customWidth="1"/>
    <col min="3" max="3" width="15.140625" bestFit="1" customWidth="1"/>
    <col min="4" max="4" width="15.28515625" bestFit="1" customWidth="1"/>
    <col min="5" max="5" width="13.28515625" bestFit="1" customWidth="1"/>
    <col min="6" max="6" width="16.140625" bestFit="1" customWidth="1"/>
    <col min="7" max="7" width="15.5703125" bestFit="1" customWidth="1"/>
    <col min="8" max="8" width="10.5703125" style="6" bestFit="1" customWidth="1"/>
    <col min="9" max="9" width="8.140625" customWidth="1"/>
    <col min="10" max="10" width="6" bestFit="1" customWidth="1"/>
    <col min="11" max="11" width="6" style="6" bestFit="1" customWidth="1"/>
    <col min="12" max="12" width="5.5703125" style="5" bestFit="1" customWidth="1"/>
    <col min="164" max="164" width="30.7109375" customWidth="1"/>
  </cols>
  <sheetData>
    <row r="1" spans="1:12" s="25" customFormat="1" ht="15.75" customHeight="1">
      <c r="A1" s="94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6"/>
    </row>
    <row r="2" spans="1:12" s="25" customFormat="1" ht="15.75" customHeight="1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25" customFormat="1" ht="15.75" customHeight="1">
      <c r="A3" s="90" t="s">
        <v>118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2" s="25" customFormat="1" ht="15.75">
      <c r="A4" s="91">
        <f>DATE(2014,12,31)</f>
        <v>42004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2" s="49" customFormat="1" ht="11.25">
      <c r="A5" s="97"/>
      <c r="B5" s="50"/>
      <c r="C5" s="51"/>
      <c r="D5" s="30"/>
      <c r="E5" s="30"/>
      <c r="F5" s="30"/>
      <c r="G5" s="30"/>
      <c r="H5" s="52"/>
      <c r="I5" s="30"/>
      <c r="J5" s="30"/>
      <c r="K5" s="52"/>
      <c r="L5" s="30"/>
    </row>
    <row r="6" spans="1:12" s="49" customFormat="1" ht="11.25">
      <c r="A6" s="30"/>
      <c r="B6" s="30"/>
      <c r="C6" s="29" t="s">
        <v>2</v>
      </c>
      <c r="D6" s="29"/>
      <c r="E6" s="29"/>
      <c r="F6" s="29"/>
      <c r="G6" s="29"/>
      <c r="H6" s="53"/>
      <c r="I6" s="54"/>
      <c r="J6" s="55"/>
      <c r="K6" s="56"/>
      <c r="L6" s="30"/>
    </row>
    <row r="7" spans="1:12" s="49" customFormat="1" ht="11.25">
      <c r="A7" s="98" t="s">
        <v>3</v>
      </c>
      <c r="B7" s="30"/>
      <c r="C7" s="29" t="s">
        <v>4</v>
      </c>
      <c r="D7" s="29" t="s">
        <v>5</v>
      </c>
      <c r="E7" s="29" t="s">
        <v>6</v>
      </c>
      <c r="F7" s="29" t="s">
        <v>7</v>
      </c>
      <c r="G7" s="29" t="s">
        <v>8</v>
      </c>
      <c r="H7" s="29" t="s">
        <v>20</v>
      </c>
      <c r="I7" s="29" t="s">
        <v>90</v>
      </c>
      <c r="J7" s="29" t="s">
        <v>92</v>
      </c>
      <c r="K7" s="56"/>
      <c r="L7" s="98" t="s">
        <v>3</v>
      </c>
    </row>
    <row r="8" spans="1:12" s="49" customFormat="1" ht="11.25">
      <c r="A8" s="98" t="s">
        <v>9</v>
      </c>
      <c r="B8" s="29" t="s">
        <v>10</v>
      </c>
      <c r="C8" s="29" t="s">
        <v>11</v>
      </c>
      <c r="D8" s="29" t="s">
        <v>12</v>
      </c>
      <c r="E8" s="29" t="s">
        <v>12</v>
      </c>
      <c r="F8" s="29" t="s">
        <v>13</v>
      </c>
      <c r="G8" s="29" t="s">
        <v>14</v>
      </c>
      <c r="H8" s="29" t="s">
        <v>24</v>
      </c>
      <c r="I8" s="29" t="s">
        <v>91</v>
      </c>
      <c r="J8" s="29" t="s">
        <v>30</v>
      </c>
      <c r="K8" s="29" t="s">
        <v>93</v>
      </c>
      <c r="L8" s="29" t="s">
        <v>9</v>
      </c>
    </row>
    <row r="9" spans="1:12">
      <c r="A9" s="99">
        <v>1</v>
      </c>
      <c r="B9" s="5"/>
      <c r="C9" s="5"/>
      <c r="D9" s="5"/>
      <c r="E9" s="5"/>
      <c r="F9" s="5"/>
      <c r="G9" s="5"/>
      <c r="H9" s="26"/>
      <c r="I9" s="5"/>
      <c r="J9" s="5"/>
      <c r="K9" s="26"/>
      <c r="L9" s="99">
        <f>A9</f>
        <v>1</v>
      </c>
    </row>
    <row r="10" spans="1:12" s="31" customFormat="1">
      <c r="A10" s="99">
        <f>A9+1</f>
        <v>2</v>
      </c>
      <c r="B10" s="34" t="s">
        <v>49</v>
      </c>
      <c r="C10" s="32">
        <f>Detail!I68</f>
        <v>6461198000</v>
      </c>
      <c r="D10" s="92">
        <f>Detail!J68</f>
        <v>-66248285.600000001</v>
      </c>
      <c r="E10" s="92">
        <f>Detail!K68</f>
        <v>-31219785.520000003</v>
      </c>
      <c r="F10" s="38">
        <f>Detail!L68</f>
        <v>6363729928.8800001</v>
      </c>
      <c r="G10" s="32">
        <f>Detail!O68</f>
        <v>356470902.99000001</v>
      </c>
      <c r="H10" s="40">
        <f>Detail!B68</f>
        <v>5.3747496202716592E-2</v>
      </c>
      <c r="I10" s="33">
        <f>G10/C10</f>
        <v>5.5171022926398479E-2</v>
      </c>
      <c r="J10" s="43">
        <f>Detail!F68</f>
        <v>22.503389923457949</v>
      </c>
      <c r="K10" s="57">
        <f>Detail!G68</f>
        <v>15.426893235072916</v>
      </c>
      <c r="L10" s="99">
        <f t="shared" ref="L10:L18" si="0">A10</f>
        <v>2</v>
      </c>
    </row>
    <row r="11" spans="1:12">
      <c r="A11" s="99">
        <f t="shared" ref="A11:A17" si="1">A10+1</f>
        <v>3</v>
      </c>
      <c r="B11" s="3"/>
      <c r="C11" s="5"/>
      <c r="D11" s="5"/>
      <c r="E11" s="5"/>
      <c r="F11" s="5"/>
      <c r="G11" s="5"/>
      <c r="H11" s="41"/>
      <c r="I11" s="35"/>
      <c r="J11" s="44"/>
      <c r="K11" s="58"/>
      <c r="L11" s="99">
        <f t="shared" si="0"/>
        <v>3</v>
      </c>
    </row>
    <row r="12" spans="1:12">
      <c r="A12" s="99">
        <f t="shared" si="1"/>
        <v>4</v>
      </c>
      <c r="B12" s="2" t="s">
        <v>100</v>
      </c>
      <c r="C12" s="5">
        <f>Detail!I80</f>
        <v>256615000</v>
      </c>
      <c r="D12" s="93">
        <f>Detail!J80</f>
        <v>-6236844.71</v>
      </c>
      <c r="E12" s="93">
        <f>Detail!K80</f>
        <v>-4819045</v>
      </c>
      <c r="F12" s="42">
        <f>Detail!L80</f>
        <v>245559110.28999996</v>
      </c>
      <c r="G12" s="5">
        <f>Detail!O80</f>
        <v>4525573.05</v>
      </c>
      <c r="H12" s="41">
        <f>Detail!B80</f>
        <v>1.56831361132286E-2</v>
      </c>
      <c r="I12" s="36">
        <f>G12/C12</f>
        <v>1.7635652826218266E-2</v>
      </c>
      <c r="J12" s="45">
        <f>Detail!F80</f>
        <v>29.077651561894498</v>
      </c>
      <c r="K12" s="45">
        <f>Detail!G80</f>
        <v>8.1312549387647284</v>
      </c>
      <c r="L12" s="99">
        <f t="shared" si="0"/>
        <v>4</v>
      </c>
    </row>
    <row r="13" spans="1:12">
      <c r="A13" s="99">
        <f t="shared" si="1"/>
        <v>5</v>
      </c>
      <c r="B13" s="2" t="s">
        <v>16</v>
      </c>
      <c r="C13" s="5">
        <f>Detail!I91</f>
        <v>313725000</v>
      </c>
      <c r="D13" s="93">
        <f>Detail!J91</f>
        <v>-3474396.52</v>
      </c>
      <c r="E13" s="93">
        <f>Detail!K91</f>
        <v>-7228979.1399999997</v>
      </c>
      <c r="F13" s="42">
        <f>Detail!L91</f>
        <v>303021624.34000003</v>
      </c>
      <c r="G13" s="5">
        <f>Detail!O91</f>
        <v>4058857.7</v>
      </c>
      <c r="H13" s="41">
        <f>Detail!B91</f>
        <v>1.1395663710515005E-2</v>
      </c>
      <c r="I13" s="36">
        <f>G13/C13</f>
        <v>1.2937629133795522E-2</v>
      </c>
      <c r="J13" s="100">
        <f>Detail!F91</f>
        <v>27.617552084716802</v>
      </c>
      <c r="K13" s="100">
        <f>Detail!G91</f>
        <v>2.8906772119956434</v>
      </c>
      <c r="L13" s="99">
        <f t="shared" si="0"/>
        <v>5</v>
      </c>
    </row>
    <row r="14" spans="1:12" s="31" customFormat="1">
      <c r="A14" s="99">
        <f t="shared" si="1"/>
        <v>6</v>
      </c>
      <c r="B14" s="4" t="s">
        <v>89</v>
      </c>
      <c r="C14" s="32">
        <f>SUM(C12:C13)</f>
        <v>570340000</v>
      </c>
      <c r="D14" s="92">
        <f>SUM(D12:D13)</f>
        <v>-9711241.2300000004</v>
      </c>
      <c r="E14" s="92">
        <f>SUM(E12:E13)</f>
        <v>-12048024.140000001</v>
      </c>
      <c r="F14" s="38">
        <f>SUM(F12:F13)</f>
        <v>548580734.63</v>
      </c>
      <c r="G14" s="38">
        <f>SUM(G12:G13)</f>
        <v>8584430.75</v>
      </c>
      <c r="H14" s="40">
        <f>SUMPRODUCT(H12:H13,$C12:$C13)/$C14</f>
        <v>1.3324740630636947E-2</v>
      </c>
      <c r="I14" s="33">
        <f>G14/C14</f>
        <v>1.5051426780516885E-2</v>
      </c>
      <c r="J14" s="43">
        <f>SUMPRODUCT(J12:J13,$C12:$C13)/$C14</f>
        <v>28.274499567509444</v>
      </c>
      <c r="K14" s="57">
        <f>SUMPRODUCT(K12:K13,$C12:$C13)/$C14</f>
        <v>5.2485880254662893</v>
      </c>
      <c r="L14" s="99">
        <f t="shared" si="0"/>
        <v>6</v>
      </c>
    </row>
    <row r="15" spans="1:12" s="31" customFormat="1">
      <c r="A15" s="99">
        <f t="shared" si="1"/>
        <v>7</v>
      </c>
      <c r="B15" s="4"/>
      <c r="C15" s="32"/>
      <c r="D15" s="32"/>
      <c r="E15" s="32"/>
      <c r="F15" s="38"/>
      <c r="G15" s="38"/>
      <c r="H15" s="40"/>
      <c r="I15" s="33"/>
      <c r="J15" s="43"/>
      <c r="K15" s="57"/>
      <c r="L15" s="99">
        <f t="shared" si="0"/>
        <v>7</v>
      </c>
    </row>
    <row r="16" spans="1:12" s="31" customFormat="1">
      <c r="A16" s="99">
        <f t="shared" si="1"/>
        <v>8</v>
      </c>
      <c r="B16" s="2" t="s">
        <v>112</v>
      </c>
      <c r="C16" s="5"/>
      <c r="D16" s="5"/>
      <c r="E16" s="5"/>
      <c r="F16" s="42"/>
      <c r="G16" s="5">
        <f>Detail!O99</f>
        <v>191970.90000000002</v>
      </c>
      <c r="H16" s="41"/>
      <c r="I16" s="36"/>
      <c r="J16" s="100"/>
      <c r="K16" s="100"/>
      <c r="L16" s="99">
        <f t="shared" si="0"/>
        <v>8</v>
      </c>
    </row>
    <row r="17" spans="1:12" s="31" customFormat="1">
      <c r="A17" s="99">
        <f t="shared" si="1"/>
        <v>9</v>
      </c>
      <c r="B17" s="4" t="s">
        <v>50</v>
      </c>
      <c r="C17" s="32">
        <f>C10+C14</f>
        <v>7031538000</v>
      </c>
      <c r="D17" s="92">
        <f t="shared" ref="D17:F17" si="2">D10+D14</f>
        <v>-75959526.829999998</v>
      </c>
      <c r="E17" s="92">
        <f t="shared" si="2"/>
        <v>-43267809.660000004</v>
      </c>
      <c r="F17" s="38">
        <f t="shared" si="2"/>
        <v>6912310663.5100002</v>
      </c>
      <c r="G17" s="38">
        <f>G10+G14+G16</f>
        <v>365247304.63999999</v>
      </c>
      <c r="H17" s="40">
        <f>(H10*C10+H14*C14)/C17</f>
        <v>5.0468737784148718E-2</v>
      </c>
      <c r="I17" s="33">
        <f>G17/C17</f>
        <v>5.1944155693960554E-2</v>
      </c>
      <c r="J17" s="43">
        <f>(J10*C10+J14*C14)/C17</f>
        <v>22.971494436921198</v>
      </c>
      <c r="K17" s="57">
        <f>(K10*C10+K14*C14)/C17</f>
        <v>14.601313597553068</v>
      </c>
      <c r="L17" s="99">
        <f t="shared" si="0"/>
        <v>9</v>
      </c>
    </row>
    <row r="18" spans="1:12">
      <c r="A18" s="99">
        <f>A17+1</f>
        <v>10</v>
      </c>
      <c r="B18" s="2"/>
      <c r="C18" s="5"/>
      <c r="D18" s="5"/>
      <c r="E18" s="5"/>
      <c r="F18" s="5"/>
      <c r="G18" s="5"/>
      <c r="H18" s="41"/>
      <c r="I18" s="5"/>
      <c r="J18" s="36"/>
      <c r="K18" s="26"/>
      <c r="L18" s="99">
        <f t="shared" si="0"/>
        <v>10</v>
      </c>
    </row>
    <row r="19" spans="1:12">
      <c r="B19" s="1"/>
    </row>
    <row r="22" spans="1:12">
      <c r="C22" s="32"/>
      <c r="D22" s="32"/>
      <c r="E22" s="32"/>
      <c r="F22" s="38"/>
      <c r="G22" s="32"/>
      <c r="H22" s="40"/>
      <c r="I22" s="33"/>
      <c r="J22" s="43"/>
      <c r="K22" s="57"/>
    </row>
    <row r="23" spans="1:12">
      <c r="C23" s="32"/>
      <c r="D23" s="32"/>
      <c r="E23" s="32"/>
      <c r="F23" s="38"/>
      <c r="G23" s="32"/>
      <c r="H23" s="40"/>
      <c r="I23" s="62"/>
      <c r="J23" s="43"/>
      <c r="K23" s="57"/>
    </row>
    <row r="24" spans="1:12">
      <c r="C24" s="32"/>
      <c r="D24" s="32"/>
      <c r="E24" s="32"/>
      <c r="F24" s="38"/>
      <c r="G24" s="32"/>
      <c r="H24" s="40"/>
      <c r="I24" s="33"/>
      <c r="J24" s="43"/>
      <c r="K24" s="57"/>
    </row>
    <row r="25" spans="1:12">
      <c r="C25" s="32"/>
      <c r="D25" s="32"/>
      <c r="E25" s="32"/>
      <c r="F25" s="38"/>
      <c r="G25" s="32"/>
      <c r="H25" s="40"/>
      <c r="I25" s="33"/>
      <c r="J25" s="43"/>
      <c r="K25" s="57"/>
    </row>
    <row r="28" spans="1:12">
      <c r="C28" s="37"/>
      <c r="D28" s="37"/>
      <c r="E28" s="37"/>
      <c r="F28" s="37"/>
    </row>
  </sheetData>
  <mergeCells count="4">
    <mergeCell ref="A1:L1"/>
    <mergeCell ref="A2:L2"/>
    <mergeCell ref="A3:L3"/>
    <mergeCell ref="A4:L4"/>
  </mergeCells>
  <phoneticPr fontId="4" type="noConversion"/>
  <printOptions horizontalCentered="1"/>
  <pageMargins left="0.5" right="0.5" top="0.7" bottom="0.55000000000000004" header="0.5" footer="0.5"/>
  <pageSetup scale="77" orientation="landscape" horizontalDpi="300" verticalDpi="300" r:id="rId1"/>
  <headerFooter alignWithMargins="0"/>
  <ignoredErrors>
    <ignoredError sqref="I14" formula="1"/>
    <ignoredError sqref="A10:A18 L9:L1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3">
    <pageSetUpPr fitToPage="1"/>
  </sheetPr>
  <dimension ref="A1:T625"/>
  <sheetViews>
    <sheetView defaultGridColor="0" view="pageBreakPreview" colorId="22" zoomScale="60" zoomScaleNormal="87" workbookViewId="0">
      <pane ySplit="10" topLeftCell="A96" activePane="bottomLeft" state="frozen"/>
      <selection pane="bottomLeft" activeCell="F114" sqref="F114"/>
    </sheetView>
  </sheetViews>
  <sheetFormatPr defaultColWidth="9.7109375" defaultRowHeight="12.75"/>
  <cols>
    <col min="1" max="1" width="5.5703125" style="18" customWidth="1"/>
    <col min="2" max="2" width="10.28515625" style="18" bestFit="1" customWidth="1"/>
    <col min="3" max="3" width="32.42578125" style="7" bestFit="1" customWidth="1"/>
    <col min="4" max="4" width="10.5703125" style="18" bestFit="1" customWidth="1"/>
    <col min="5" max="5" width="10.85546875" style="18" bestFit="1" customWidth="1"/>
    <col min="6" max="7" width="6.42578125" style="18" bestFit="1" customWidth="1"/>
    <col min="8" max="8" width="13.42578125" style="7" customWidth="1"/>
    <col min="9" max="9" width="14.85546875" style="7" customWidth="1"/>
    <col min="10" max="10" width="13.7109375" style="7" bestFit="1" customWidth="1"/>
    <col min="11" max="11" width="13.5703125" style="7" bestFit="1" customWidth="1"/>
    <col min="12" max="12" width="16.5703125" style="7" customWidth="1"/>
    <col min="13" max="13" width="11.28515625" style="7" customWidth="1"/>
    <col min="14" max="14" width="11" style="7" bestFit="1" customWidth="1"/>
    <col min="15" max="15" width="14.5703125" style="7" bestFit="1" customWidth="1"/>
    <col min="16" max="16" width="5.42578125" style="7" bestFit="1" customWidth="1"/>
    <col min="17" max="17" width="12" style="7" bestFit="1" customWidth="1"/>
    <col min="18" max="19" width="9.7109375" style="7"/>
    <col min="20" max="20" width="10.7109375" style="7" bestFit="1" customWidth="1"/>
    <col min="21" max="16384" width="9.7109375" style="7"/>
  </cols>
  <sheetData>
    <row r="1" spans="1:16" s="25" customFormat="1" ht="15.75" customHeight="1">
      <c r="A1" s="90" t="str">
        <f>Summary!A1</f>
        <v>PACIFICORP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16" s="25" customFormat="1" ht="15.75" customHeight="1">
      <c r="A2" s="90" t="str">
        <f>Summary!A2</f>
        <v>Electric Operations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</row>
    <row r="3" spans="1:16" s="25" customFormat="1" ht="15.75" customHeight="1">
      <c r="A3" s="90" t="s">
        <v>119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</row>
    <row r="4" spans="1:16" s="25" customFormat="1" ht="15.75">
      <c r="A4" s="91">
        <f>Summary!A4</f>
        <v>42004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</row>
    <row r="5" spans="1:16" s="74" customFormat="1" ht="11.25">
      <c r="A5" s="60"/>
      <c r="B5" s="47"/>
      <c r="C5" s="48"/>
      <c r="D5" s="47"/>
      <c r="E5" s="47"/>
      <c r="F5" s="47"/>
      <c r="G5" s="47"/>
      <c r="H5" s="48"/>
      <c r="I5" s="48"/>
      <c r="J5" s="48"/>
      <c r="K5" s="48"/>
      <c r="L5" s="48"/>
      <c r="M5" s="48"/>
      <c r="N5" s="48"/>
      <c r="O5" s="48"/>
      <c r="P5" s="75"/>
    </row>
    <row r="6" spans="1:16" s="25" customFormat="1">
      <c r="A6" s="60"/>
      <c r="B6" s="60"/>
      <c r="C6" s="75"/>
      <c r="D6" s="60"/>
      <c r="E6" s="60"/>
      <c r="F6" s="60"/>
      <c r="G6" s="60"/>
      <c r="H6" s="75"/>
      <c r="I6" s="75"/>
      <c r="J6" s="75"/>
      <c r="K6" s="75"/>
      <c r="L6" s="106" t="s">
        <v>18</v>
      </c>
      <c r="M6" s="106"/>
      <c r="N6" s="20"/>
      <c r="O6" s="76"/>
      <c r="P6" s="75"/>
    </row>
    <row r="7" spans="1:16" s="25" customFormat="1">
      <c r="A7" s="60"/>
      <c r="B7" s="60"/>
      <c r="C7" s="75"/>
      <c r="D7" s="60"/>
      <c r="E7" s="60"/>
      <c r="F7" s="60"/>
      <c r="G7" s="60"/>
      <c r="H7" s="106" t="s">
        <v>97</v>
      </c>
      <c r="I7" s="106"/>
      <c r="J7" s="75"/>
      <c r="K7" s="75"/>
      <c r="L7" s="60" t="s">
        <v>21</v>
      </c>
      <c r="M7" s="60" t="s">
        <v>22</v>
      </c>
      <c r="N7" s="20"/>
      <c r="O7" s="76"/>
      <c r="P7" s="75"/>
    </row>
    <row r="8" spans="1:16" s="25" customFormat="1">
      <c r="A8" s="60" t="s">
        <v>3</v>
      </c>
      <c r="B8" s="60" t="s">
        <v>20</v>
      </c>
      <c r="C8" s="75" t="s">
        <v>17</v>
      </c>
      <c r="D8" s="60" t="s">
        <v>5</v>
      </c>
      <c r="E8" s="60" t="s">
        <v>25</v>
      </c>
      <c r="F8" s="60" t="s">
        <v>92</v>
      </c>
      <c r="G8" s="60"/>
      <c r="H8" s="60" t="s">
        <v>26</v>
      </c>
      <c r="I8" s="60" t="s">
        <v>4</v>
      </c>
      <c r="J8" s="60" t="s">
        <v>5</v>
      </c>
      <c r="K8" s="60" t="s">
        <v>6</v>
      </c>
      <c r="L8" s="60" t="s">
        <v>27</v>
      </c>
      <c r="M8" s="60" t="s">
        <v>28</v>
      </c>
      <c r="N8" s="60" t="s">
        <v>19</v>
      </c>
      <c r="O8" s="60" t="s">
        <v>8</v>
      </c>
      <c r="P8" s="75" t="s">
        <v>3</v>
      </c>
    </row>
    <row r="9" spans="1:16" s="25" customFormat="1">
      <c r="A9" s="60" t="s">
        <v>9</v>
      </c>
      <c r="B9" s="60" t="s">
        <v>24</v>
      </c>
      <c r="C9" s="60" t="s">
        <v>10</v>
      </c>
      <c r="D9" s="60" t="s">
        <v>29</v>
      </c>
      <c r="E9" s="60" t="s">
        <v>29</v>
      </c>
      <c r="F9" s="60" t="s">
        <v>30</v>
      </c>
      <c r="G9" s="60" t="s">
        <v>93</v>
      </c>
      <c r="H9" s="60" t="s">
        <v>31</v>
      </c>
      <c r="I9" s="60" t="s">
        <v>11</v>
      </c>
      <c r="J9" s="60" t="s">
        <v>12</v>
      </c>
      <c r="K9" s="60" t="s">
        <v>12</v>
      </c>
      <c r="L9" s="60" t="s">
        <v>2</v>
      </c>
      <c r="M9" s="60" t="s">
        <v>2</v>
      </c>
      <c r="N9" s="60" t="s">
        <v>23</v>
      </c>
      <c r="O9" s="60" t="s">
        <v>14</v>
      </c>
      <c r="P9" s="75" t="s">
        <v>9</v>
      </c>
    </row>
    <row r="10" spans="1:16" s="25" customFormat="1">
      <c r="A10" s="23"/>
      <c r="B10" s="107" t="s">
        <v>47</v>
      </c>
      <c r="C10" s="107" t="s">
        <v>48</v>
      </c>
      <c r="D10" s="107" t="s">
        <v>55</v>
      </c>
      <c r="E10" s="107" t="s">
        <v>56</v>
      </c>
      <c r="F10" s="107" t="s">
        <v>57</v>
      </c>
      <c r="G10" s="107" t="s">
        <v>58</v>
      </c>
      <c r="H10" s="107" t="s">
        <v>59</v>
      </c>
      <c r="I10" s="107" t="s">
        <v>60</v>
      </c>
      <c r="J10" s="107" t="s">
        <v>61</v>
      </c>
      <c r="K10" s="107" t="s">
        <v>62</v>
      </c>
      <c r="L10" s="107" t="s">
        <v>63</v>
      </c>
      <c r="M10" s="107" t="s">
        <v>64</v>
      </c>
      <c r="N10" s="107" t="s">
        <v>65</v>
      </c>
      <c r="O10" s="107" t="s">
        <v>66</v>
      </c>
      <c r="P10" s="20" t="s">
        <v>15</v>
      </c>
    </row>
    <row r="11" spans="1:16" s="25" customFormat="1">
      <c r="A11" s="108">
        <v>1</v>
      </c>
      <c r="B11" s="23"/>
      <c r="C11" s="20"/>
      <c r="D11" s="23"/>
      <c r="E11" s="23"/>
      <c r="F11" s="23"/>
      <c r="G11" s="23"/>
      <c r="H11" s="20"/>
      <c r="I11" s="20"/>
      <c r="J11" s="20"/>
      <c r="K11" s="20"/>
      <c r="L11" s="20"/>
      <c r="M11" s="20"/>
      <c r="N11" s="20"/>
      <c r="O11" s="20"/>
      <c r="P11" s="109">
        <f>A11</f>
        <v>1</v>
      </c>
    </row>
    <row r="12" spans="1:16" s="25" customFormat="1">
      <c r="A12" s="108">
        <f>A11+1</f>
        <v>2</v>
      </c>
      <c r="B12" s="23"/>
      <c r="C12" s="22" t="s">
        <v>32</v>
      </c>
      <c r="D12" s="9"/>
      <c r="E12" s="24"/>
      <c r="F12" s="23"/>
      <c r="G12" s="23"/>
      <c r="H12" s="20"/>
      <c r="I12" s="20"/>
      <c r="J12" s="20"/>
      <c r="K12" s="20"/>
      <c r="L12" s="20"/>
      <c r="M12" s="20"/>
      <c r="N12" s="20"/>
      <c r="O12" s="20"/>
      <c r="P12" s="109">
        <f>A12</f>
        <v>2</v>
      </c>
    </row>
    <row r="13" spans="1:16" s="25" customFormat="1">
      <c r="A13" s="108">
        <f t="shared" ref="A13:A14" si="0">A12+1</f>
        <v>3</v>
      </c>
      <c r="B13" s="63">
        <v>8.294E-2</v>
      </c>
      <c r="C13" s="77" t="s">
        <v>67</v>
      </c>
      <c r="D13" s="24">
        <f t="shared" ref="D13:D15" si="1">DATE(1992,4,15)</f>
        <v>33709</v>
      </c>
      <c r="E13" s="24">
        <f>DATE(2015,10,1)</f>
        <v>42278</v>
      </c>
      <c r="F13" s="64">
        <v>23.461111111111112</v>
      </c>
      <c r="G13" s="64">
        <v>0.75277777777777777</v>
      </c>
      <c r="H13" s="14">
        <v>46946000</v>
      </c>
      <c r="I13" s="78">
        <v>4178000</v>
      </c>
      <c r="J13" s="14">
        <v>0</v>
      </c>
      <c r="K13" s="14">
        <v>0</v>
      </c>
      <c r="L13" s="14">
        <f t="shared" ref="L13:L15" si="2">SUM(I13:K13)</f>
        <v>4178000</v>
      </c>
      <c r="M13" s="65">
        <f t="shared" ref="M13:M15" si="3">L13/I13*100</f>
        <v>100</v>
      </c>
      <c r="N13" s="68">
        <f t="shared" ref="N13:N15" si="4">ROUND(YIELD(D13,E13,B13,M13,100,2,0),5)</f>
        <v>8.2930000000000004E-2</v>
      </c>
      <c r="O13" s="79">
        <f t="shared" ref="O13:O15" si="5">ROUND(N13,5)*I13</f>
        <v>346481.54000000004</v>
      </c>
      <c r="P13" s="109">
        <f t="shared" ref="P13:P64" si="6">A13</f>
        <v>3</v>
      </c>
    </row>
    <row r="14" spans="1:16" s="25" customFormat="1">
      <c r="A14" s="108">
        <f t="shared" si="0"/>
        <v>4</v>
      </c>
      <c r="B14" s="63">
        <v>8.635000000000001E-2</v>
      </c>
      <c r="C14" s="77" t="s">
        <v>68</v>
      </c>
      <c r="D14" s="24">
        <f t="shared" si="1"/>
        <v>33709</v>
      </c>
      <c r="E14" s="24">
        <f>DATE(2016,10,1)</f>
        <v>42644</v>
      </c>
      <c r="F14" s="64">
        <v>23.981320922897595</v>
      </c>
      <c r="G14" s="64">
        <v>1.2729875895642635</v>
      </c>
      <c r="H14" s="14">
        <v>18750000</v>
      </c>
      <c r="I14" s="78">
        <v>3241000</v>
      </c>
      <c r="J14" s="14">
        <v>0</v>
      </c>
      <c r="K14" s="14">
        <v>0</v>
      </c>
      <c r="L14" s="14">
        <f t="shared" si="2"/>
        <v>3241000</v>
      </c>
      <c r="M14" s="65">
        <f t="shared" si="3"/>
        <v>100</v>
      </c>
      <c r="N14" s="68">
        <f t="shared" si="4"/>
        <v>8.634E-2</v>
      </c>
      <c r="O14" s="79">
        <f t="shared" si="5"/>
        <v>279827.94</v>
      </c>
      <c r="P14" s="109">
        <f t="shared" si="6"/>
        <v>4</v>
      </c>
    </row>
    <row r="15" spans="1:16" s="25" customFormat="1">
      <c r="A15" s="108">
        <f t="shared" ref="A15:A65" si="7">A14+1</f>
        <v>5</v>
      </c>
      <c r="B15" s="63">
        <v>8.4699999999999998E-2</v>
      </c>
      <c r="C15" s="77" t="s">
        <v>69</v>
      </c>
      <c r="D15" s="24">
        <f t="shared" si="1"/>
        <v>33709</v>
      </c>
      <c r="E15" s="24">
        <f>DATE(2017,10,1)</f>
        <v>43009</v>
      </c>
      <c r="F15" s="64">
        <v>24.514678803096881</v>
      </c>
      <c r="G15" s="64">
        <v>1.8063454697635488</v>
      </c>
      <c r="H15" s="14">
        <v>19609000</v>
      </c>
      <c r="I15" s="78">
        <v>4779000</v>
      </c>
      <c r="J15" s="14">
        <v>0</v>
      </c>
      <c r="K15" s="14">
        <v>0</v>
      </c>
      <c r="L15" s="14">
        <f t="shared" si="2"/>
        <v>4779000</v>
      </c>
      <c r="M15" s="65">
        <f t="shared" si="3"/>
        <v>100</v>
      </c>
      <c r="N15" s="68">
        <f t="shared" si="4"/>
        <v>8.4690000000000001E-2</v>
      </c>
      <c r="O15" s="79">
        <f t="shared" si="5"/>
        <v>404733.51</v>
      </c>
      <c r="P15" s="109">
        <f t="shared" si="6"/>
        <v>5</v>
      </c>
    </row>
    <row r="16" spans="1:16" s="25" customFormat="1">
      <c r="A16" s="108">
        <f t="shared" si="7"/>
        <v>6</v>
      </c>
      <c r="B16" s="69">
        <f>SUMPRODUCT(B13:B15,I13:I15)/I16</f>
        <v>8.4535577143794061E-2</v>
      </c>
      <c r="C16" s="21" t="s">
        <v>87</v>
      </c>
      <c r="D16" s="23"/>
      <c r="E16" s="23"/>
      <c r="F16" s="70">
        <f>SUMPRODUCT(F13:F15,I13:I15)/I16</f>
        <v>24.012103077007158</v>
      </c>
      <c r="G16" s="70">
        <f>SUMPRODUCT(G13:G15,I13:I15)/I16</f>
        <v>1.3037697436738263</v>
      </c>
      <c r="H16" s="20"/>
      <c r="I16" s="80">
        <f>SUM(I13:I15)</f>
        <v>12198000</v>
      </c>
      <c r="J16" s="81">
        <f>SUM(J13:J15)</f>
        <v>0</v>
      </c>
      <c r="K16" s="81">
        <f>SUM(K13:K15)</f>
        <v>0</v>
      </c>
      <c r="L16" s="81">
        <f>SUM(L13:L15)</f>
        <v>12198000</v>
      </c>
      <c r="M16" s="20"/>
      <c r="N16" s="71">
        <f>O16/I16</f>
        <v>8.4525577143794065E-2</v>
      </c>
      <c r="O16" s="82">
        <f>SUM(O13:O15)</f>
        <v>1031042.99</v>
      </c>
      <c r="P16" s="109">
        <f t="shared" si="6"/>
        <v>6</v>
      </c>
    </row>
    <row r="17" spans="1:16" s="25" customFormat="1">
      <c r="A17" s="108">
        <f t="shared" si="7"/>
        <v>7</v>
      </c>
      <c r="B17" s="23"/>
      <c r="C17" s="22"/>
      <c r="D17" s="9"/>
      <c r="E17" s="24"/>
      <c r="F17" s="23"/>
      <c r="G17" s="23"/>
      <c r="H17" s="20"/>
      <c r="I17" s="20"/>
      <c r="J17" s="20"/>
      <c r="K17" s="20"/>
      <c r="L17" s="20"/>
      <c r="M17" s="20"/>
      <c r="N17" s="20"/>
      <c r="O17" s="59"/>
      <c r="P17" s="109">
        <f t="shared" si="6"/>
        <v>7</v>
      </c>
    </row>
    <row r="18" spans="1:16" s="25" customFormat="1">
      <c r="A18" s="108">
        <f t="shared" si="7"/>
        <v>8</v>
      </c>
      <c r="B18" s="63">
        <v>5.6500000000000002E-2</v>
      </c>
      <c r="C18" s="20" t="s">
        <v>104</v>
      </c>
      <c r="D18" s="24">
        <f>DATE(2008,7,17)</f>
        <v>39646</v>
      </c>
      <c r="E18" s="24">
        <f>DATE(2018,7,15)</f>
        <v>43296</v>
      </c>
      <c r="F18" s="64">
        <f t="shared" ref="F18:F33" si="8">YEARFRAC(D18,E18)</f>
        <v>9.9944444444444436</v>
      </c>
      <c r="G18" s="64">
        <f t="shared" ref="G18:G33" si="9">YEARFRAC($A$4,E18)</f>
        <v>3.5416666666666665</v>
      </c>
      <c r="H18" s="17">
        <v>500000000</v>
      </c>
      <c r="I18" s="101">
        <v>500000000</v>
      </c>
      <c r="J18" s="105">
        <f>-905000-2750000-316595.91-625</f>
        <v>-3972220.91</v>
      </c>
      <c r="K18" s="28">
        <v>0</v>
      </c>
      <c r="L18" s="14">
        <f t="shared" ref="L18:L33" si="10">SUM(I18:K18)</f>
        <v>496027779.08999997</v>
      </c>
      <c r="M18" s="65">
        <f t="shared" ref="M18:M33" si="11">L18/I18*100</f>
        <v>99.205555817999993</v>
      </c>
      <c r="N18" s="68">
        <f t="shared" ref="N18:N33" si="12">ROUND(YIELD(D18,E18,B18,M18,100,2,0),5)</f>
        <v>5.756E-2</v>
      </c>
      <c r="O18" s="79">
        <f t="shared" ref="O18:O33" si="13">ROUND(N18,5)*I18</f>
        <v>28780000</v>
      </c>
      <c r="P18" s="109">
        <f t="shared" si="6"/>
        <v>8</v>
      </c>
    </row>
    <row r="19" spans="1:16" s="25" customFormat="1">
      <c r="A19" s="108">
        <f t="shared" si="7"/>
        <v>9</v>
      </c>
      <c r="B19" s="63">
        <v>5.5E-2</v>
      </c>
      <c r="C19" s="20" t="s">
        <v>106</v>
      </c>
      <c r="D19" s="24">
        <f>DATE(2009,1,8)</f>
        <v>39821</v>
      </c>
      <c r="E19" s="24">
        <f>DATE(2019,1,15)</f>
        <v>43480</v>
      </c>
      <c r="F19" s="64">
        <f t="shared" si="8"/>
        <v>10.019444444444444</v>
      </c>
      <c r="G19" s="64">
        <f t="shared" si="9"/>
        <v>4.041666666666667</v>
      </c>
      <c r="H19" s="17">
        <v>350000000</v>
      </c>
      <c r="I19" s="101">
        <v>350000000</v>
      </c>
      <c r="J19" s="105">
        <f>-2292500-2275000-234868.7-5924.2</f>
        <v>-4808292.9000000004</v>
      </c>
      <c r="K19" s="28">
        <v>0</v>
      </c>
      <c r="L19" s="14">
        <f t="shared" si="10"/>
        <v>345191707.10000002</v>
      </c>
      <c r="M19" s="65">
        <f t="shared" si="11"/>
        <v>98.626202028571427</v>
      </c>
      <c r="N19" s="68">
        <f t="shared" si="12"/>
        <v>5.6820000000000002E-2</v>
      </c>
      <c r="O19" s="79">
        <f t="shared" si="13"/>
        <v>19887000</v>
      </c>
      <c r="P19" s="109">
        <f t="shared" si="6"/>
        <v>9</v>
      </c>
    </row>
    <row r="20" spans="1:16" s="25" customFormat="1">
      <c r="A20" s="108">
        <f t="shared" si="7"/>
        <v>10</v>
      </c>
      <c r="B20" s="63">
        <v>3.85E-2</v>
      </c>
      <c r="C20" s="20" t="s">
        <v>108</v>
      </c>
      <c r="D20" s="24">
        <f>DATE(2011,5,12)</f>
        <v>40675</v>
      </c>
      <c r="E20" s="24">
        <f>DATE(2021,6,15)</f>
        <v>44362</v>
      </c>
      <c r="F20" s="64">
        <f t="shared" si="8"/>
        <v>10.091666666666667</v>
      </c>
      <c r="G20" s="64">
        <f t="shared" si="9"/>
        <v>6.458333333333333</v>
      </c>
      <c r="H20" s="17">
        <v>400000000</v>
      </c>
      <c r="I20" s="101">
        <v>400000000</v>
      </c>
      <c r="J20" s="105">
        <f>-2600000-744000-405611.72-1000-526.5</f>
        <v>-3751138.2199999997</v>
      </c>
      <c r="K20" s="28">
        <v>0</v>
      </c>
      <c r="L20" s="14">
        <f t="shared" si="10"/>
        <v>396248861.77999997</v>
      </c>
      <c r="M20" s="65">
        <f t="shared" si="11"/>
        <v>99.062215444999993</v>
      </c>
      <c r="N20" s="68">
        <f t="shared" si="12"/>
        <v>3.9629999999999999E-2</v>
      </c>
      <c r="O20" s="79">
        <f t="shared" si="13"/>
        <v>15852000</v>
      </c>
      <c r="P20" s="109">
        <f t="shared" si="6"/>
        <v>10</v>
      </c>
    </row>
    <row r="21" spans="1:16" s="25" customFormat="1">
      <c r="A21" s="108">
        <f t="shared" si="7"/>
        <v>11</v>
      </c>
      <c r="B21" s="63">
        <v>2.9499999999999998E-2</v>
      </c>
      <c r="C21" s="20" t="s">
        <v>109</v>
      </c>
      <c r="D21" s="24">
        <f>DATE(2012,1,6)</f>
        <v>40914</v>
      </c>
      <c r="E21" s="24">
        <f>DATE(2022,2,1)</f>
        <v>44593</v>
      </c>
      <c r="F21" s="64">
        <f t="shared" si="8"/>
        <v>10.069444444444445</v>
      </c>
      <c r="G21" s="64">
        <f t="shared" si="9"/>
        <v>7.0861111111111112</v>
      </c>
      <c r="H21" s="17">
        <v>350000000</v>
      </c>
      <c r="I21" s="101">
        <v>350000000</v>
      </c>
      <c r="J21" s="105">
        <f>-2030000-308000-393807.67-421.77</f>
        <v>-2732229.44</v>
      </c>
      <c r="K21" s="28">
        <v>0</v>
      </c>
      <c r="L21" s="14">
        <f t="shared" si="10"/>
        <v>347267770.56</v>
      </c>
      <c r="M21" s="65">
        <f t="shared" si="11"/>
        <v>99.219363017142854</v>
      </c>
      <c r="N21" s="68">
        <f t="shared" si="12"/>
        <v>3.04E-2</v>
      </c>
      <c r="O21" s="79">
        <f t="shared" si="13"/>
        <v>10640000</v>
      </c>
      <c r="P21" s="109">
        <f t="shared" ref="P21:P29" si="14">A21</f>
        <v>11</v>
      </c>
    </row>
    <row r="22" spans="1:16" s="25" customFormat="1">
      <c r="A22" s="108">
        <f t="shared" si="7"/>
        <v>12</v>
      </c>
      <c r="B22" s="63">
        <v>2.9499999999999998E-2</v>
      </c>
      <c r="C22" s="20" t="s">
        <v>109</v>
      </c>
      <c r="D22" s="24">
        <f>DATE(2012,3,6)</f>
        <v>40974</v>
      </c>
      <c r="E22" s="24">
        <f>DATE(2022,2,1)</f>
        <v>44593</v>
      </c>
      <c r="F22" s="64">
        <f t="shared" si="8"/>
        <v>9.9027777777777786</v>
      </c>
      <c r="G22" s="64">
        <f t="shared" si="9"/>
        <v>7.0861111111111112</v>
      </c>
      <c r="H22" s="17">
        <v>100000000</v>
      </c>
      <c r="I22" s="101">
        <v>100000000</v>
      </c>
      <c r="J22" s="105">
        <f>81000-254128.51-120.5</f>
        <v>-173249.01</v>
      </c>
      <c r="K22" s="105">
        <f>-4917357.79-49840-3595</f>
        <v>-4970792.79</v>
      </c>
      <c r="L22" s="14">
        <f t="shared" si="10"/>
        <v>94855958.199999988</v>
      </c>
      <c r="M22" s="65">
        <f t="shared" si="11"/>
        <v>94.855958199999989</v>
      </c>
      <c r="N22" s="68">
        <f t="shared" si="12"/>
        <v>3.5709999999999999E-2</v>
      </c>
      <c r="O22" s="79">
        <f t="shared" si="13"/>
        <v>3571000</v>
      </c>
      <c r="P22" s="109">
        <f t="shared" si="14"/>
        <v>12</v>
      </c>
    </row>
    <row r="23" spans="1:16" s="25" customFormat="1">
      <c r="A23" s="108">
        <f t="shared" si="7"/>
        <v>13</v>
      </c>
      <c r="B23" s="63">
        <v>2.9499999999999998E-2</v>
      </c>
      <c r="C23" s="20" t="s">
        <v>111</v>
      </c>
      <c r="D23" s="24">
        <f>DATE(2013,6,6)</f>
        <v>41431</v>
      </c>
      <c r="E23" s="24">
        <f>DATE(2023,6,1)</f>
        <v>45078</v>
      </c>
      <c r="F23" s="64">
        <f t="shared" si="8"/>
        <v>9.9861111111111107</v>
      </c>
      <c r="G23" s="64">
        <f t="shared" si="9"/>
        <v>8.4194444444444443</v>
      </c>
      <c r="H23" s="17">
        <v>300000000</v>
      </c>
      <c r="I23" s="101">
        <v>300000000</v>
      </c>
      <c r="J23" s="105">
        <f>-1350000-900000-494850.25</f>
        <v>-2744850.25</v>
      </c>
      <c r="K23" s="28">
        <v>0</v>
      </c>
      <c r="L23" s="14">
        <f t="shared" ref="L23" si="15">SUM(I23:K23)</f>
        <v>297255149.75</v>
      </c>
      <c r="M23" s="65">
        <f t="shared" si="11"/>
        <v>99.085049916666662</v>
      </c>
      <c r="N23" s="68">
        <f t="shared" si="12"/>
        <v>3.057E-2</v>
      </c>
      <c r="O23" s="79">
        <f t="shared" si="13"/>
        <v>9171000</v>
      </c>
      <c r="P23" s="109">
        <f t="shared" si="14"/>
        <v>13</v>
      </c>
    </row>
    <row r="24" spans="1:16" s="25" customFormat="1">
      <c r="A24" s="108">
        <f t="shared" si="7"/>
        <v>14</v>
      </c>
      <c r="B24" s="63">
        <v>3.5999999999999997E-2</v>
      </c>
      <c r="C24" s="20" t="s">
        <v>120</v>
      </c>
      <c r="D24" s="24">
        <f>DATE(2014,3,13)</f>
        <v>41711</v>
      </c>
      <c r="E24" s="24">
        <f>DATE(2024,4,1)</f>
        <v>45383</v>
      </c>
      <c r="F24" s="64">
        <f t="shared" ref="F24" si="16">YEARFRAC(D24,E24)</f>
        <v>10.050000000000001</v>
      </c>
      <c r="G24" s="64">
        <f t="shared" ref="G24" si="17">YEARFRAC($A$4,E24)</f>
        <v>9.2527777777777782</v>
      </c>
      <c r="H24" s="17">
        <v>425000000</v>
      </c>
      <c r="I24" s="101">
        <v>425000000</v>
      </c>
      <c r="J24" s="105">
        <f>-H24*0.0062-790000-255000</f>
        <v>-3680000</v>
      </c>
      <c r="K24" s="105">
        <f>-1756408.34-183498.35-3167.83</f>
        <v>-1943074.5200000003</v>
      </c>
      <c r="L24" s="14">
        <f t="shared" ref="L24" si="18">SUM(I24:K24)</f>
        <v>419376925.48000002</v>
      </c>
      <c r="M24" s="65">
        <f t="shared" si="11"/>
        <v>98.676923642352946</v>
      </c>
      <c r="N24" s="68">
        <f t="shared" si="12"/>
        <v>3.7589999999999998E-2</v>
      </c>
      <c r="O24" s="79">
        <f t="shared" si="13"/>
        <v>15975750</v>
      </c>
      <c r="P24" s="109">
        <f t="shared" si="14"/>
        <v>14</v>
      </c>
    </row>
    <row r="25" spans="1:16" s="25" customFormat="1">
      <c r="A25" s="108">
        <f t="shared" si="7"/>
        <v>15</v>
      </c>
      <c r="B25" s="63">
        <v>7.6999999999999999E-2</v>
      </c>
      <c r="C25" s="20" t="s">
        <v>51</v>
      </c>
      <c r="D25" s="24">
        <f>DATE(2001,11,21)</f>
        <v>37216</v>
      </c>
      <c r="E25" s="24">
        <f>DATE(2031,11,15)</f>
        <v>48167</v>
      </c>
      <c r="F25" s="64">
        <f t="shared" si="8"/>
        <v>29.983333333333334</v>
      </c>
      <c r="G25" s="64">
        <f t="shared" si="9"/>
        <v>16.875</v>
      </c>
      <c r="H25" s="17">
        <v>300000000</v>
      </c>
      <c r="I25" s="101">
        <v>300000000</v>
      </c>
      <c r="J25" s="105">
        <f>-2625000-864000-212309.65</f>
        <v>-3701309.65</v>
      </c>
      <c r="K25" s="28">
        <v>0</v>
      </c>
      <c r="L25" s="14">
        <f t="shared" si="10"/>
        <v>296298690.35000002</v>
      </c>
      <c r="M25" s="65">
        <f t="shared" si="11"/>
        <v>98.766230116666677</v>
      </c>
      <c r="N25" s="68">
        <f t="shared" si="12"/>
        <v>7.8070000000000001E-2</v>
      </c>
      <c r="O25" s="79">
        <f t="shared" si="13"/>
        <v>23421000</v>
      </c>
      <c r="P25" s="109">
        <f t="shared" si="14"/>
        <v>15</v>
      </c>
    </row>
    <row r="26" spans="1:16" s="25" customFormat="1">
      <c r="A26" s="108">
        <f t="shared" si="7"/>
        <v>16</v>
      </c>
      <c r="B26" s="63">
        <v>5.8999999999999997E-2</v>
      </c>
      <c r="C26" s="20" t="s">
        <v>52</v>
      </c>
      <c r="D26" s="24">
        <f>DATE(2004,8,24)</f>
        <v>38223</v>
      </c>
      <c r="E26" s="24">
        <f>DATE(2034,8,15)</f>
        <v>49171</v>
      </c>
      <c r="F26" s="64">
        <f t="shared" si="8"/>
        <v>29.975000000000001</v>
      </c>
      <c r="G26" s="64">
        <f t="shared" si="9"/>
        <v>19.625</v>
      </c>
      <c r="H26" s="17">
        <v>200000000</v>
      </c>
      <c r="I26" s="101">
        <v>200000000</v>
      </c>
      <c r="J26" s="105">
        <f>-722000-1750000-142365.3</f>
        <v>-2614365.2999999998</v>
      </c>
      <c r="K26" s="28">
        <v>0</v>
      </c>
      <c r="L26" s="14">
        <f t="shared" si="10"/>
        <v>197385634.69999999</v>
      </c>
      <c r="M26" s="65">
        <f t="shared" si="11"/>
        <v>98.692817349999999</v>
      </c>
      <c r="N26" s="68">
        <f t="shared" si="12"/>
        <v>5.994E-2</v>
      </c>
      <c r="O26" s="79">
        <f t="shared" si="13"/>
        <v>11988000</v>
      </c>
      <c r="P26" s="109">
        <f t="shared" si="14"/>
        <v>16</v>
      </c>
    </row>
    <row r="27" spans="1:16" s="25" customFormat="1">
      <c r="A27" s="108">
        <f t="shared" si="7"/>
        <v>17</v>
      </c>
      <c r="B27" s="63">
        <v>5.2499999999999998E-2</v>
      </c>
      <c r="C27" s="20" t="s">
        <v>53</v>
      </c>
      <c r="D27" s="24">
        <f>DATE(2005,6,8)</f>
        <v>38511</v>
      </c>
      <c r="E27" s="24">
        <f>DATE(2035,6,15)</f>
        <v>49475</v>
      </c>
      <c r="F27" s="64">
        <f t="shared" si="8"/>
        <v>30.019444444444446</v>
      </c>
      <c r="G27" s="64">
        <f t="shared" si="9"/>
        <v>20.458333333333332</v>
      </c>
      <c r="H27" s="17">
        <v>300000000</v>
      </c>
      <c r="I27" s="101">
        <v>300000000</v>
      </c>
      <c r="J27" s="105">
        <f>-1080000-2625000-287020.96</f>
        <v>-3992020.96</v>
      </c>
      <c r="K27" s="105">
        <v>-1295995.2</v>
      </c>
      <c r="L27" s="14">
        <f t="shared" si="10"/>
        <v>294711983.84000003</v>
      </c>
      <c r="M27" s="65">
        <f t="shared" si="11"/>
        <v>98.237327946666682</v>
      </c>
      <c r="N27" s="68">
        <f t="shared" si="12"/>
        <v>5.3690000000000002E-2</v>
      </c>
      <c r="O27" s="79">
        <f t="shared" si="13"/>
        <v>16107000</v>
      </c>
      <c r="P27" s="109">
        <f t="shared" si="14"/>
        <v>17</v>
      </c>
    </row>
    <row r="28" spans="1:16" s="25" customFormat="1">
      <c r="A28" s="108">
        <f t="shared" si="7"/>
        <v>18</v>
      </c>
      <c r="B28" s="63">
        <v>6.0999999999999999E-2</v>
      </c>
      <c r="C28" s="20" t="s">
        <v>101</v>
      </c>
      <c r="D28" s="24">
        <f>DATE(2006,8,10)</f>
        <v>38939</v>
      </c>
      <c r="E28" s="24">
        <f>DATE(2036,8,1)</f>
        <v>49888</v>
      </c>
      <c r="F28" s="64">
        <f t="shared" si="8"/>
        <v>29.975000000000001</v>
      </c>
      <c r="G28" s="64">
        <f t="shared" si="9"/>
        <v>21.586111111111112</v>
      </c>
      <c r="H28" s="17">
        <v>350000000</v>
      </c>
      <c r="I28" s="101">
        <v>350000000</v>
      </c>
      <c r="J28" s="105">
        <f>-1141000-2450000-457880.81</f>
        <v>-4048880.81</v>
      </c>
      <c r="K28" s="28">
        <v>0</v>
      </c>
      <c r="L28" s="14">
        <f t="shared" si="10"/>
        <v>345951119.19</v>
      </c>
      <c r="M28" s="65">
        <f t="shared" si="11"/>
        <v>98.843176911428571</v>
      </c>
      <c r="N28" s="68">
        <f t="shared" si="12"/>
        <v>6.1850000000000002E-2</v>
      </c>
      <c r="O28" s="79">
        <f t="shared" si="13"/>
        <v>21647500</v>
      </c>
      <c r="P28" s="109">
        <f t="shared" si="14"/>
        <v>18</v>
      </c>
    </row>
    <row r="29" spans="1:16" s="25" customFormat="1">
      <c r="A29" s="108">
        <f t="shared" si="7"/>
        <v>19</v>
      </c>
      <c r="B29" s="63">
        <v>5.7500000000000002E-2</v>
      </c>
      <c r="C29" s="20" t="s">
        <v>102</v>
      </c>
      <c r="D29" s="24">
        <f>DATE(2007,3,14)</f>
        <v>39155</v>
      </c>
      <c r="E29" s="24">
        <f>DATE(2037,4,1)</f>
        <v>50131</v>
      </c>
      <c r="F29" s="64">
        <f t="shared" si="8"/>
        <v>30.047222222222221</v>
      </c>
      <c r="G29" s="64">
        <f t="shared" si="9"/>
        <v>22.252777777777776</v>
      </c>
      <c r="H29" s="17">
        <v>600000000</v>
      </c>
      <c r="I29" s="101">
        <v>600000000</v>
      </c>
      <c r="J29" s="105">
        <f>-24000-589216.14</f>
        <v>-613216.14</v>
      </c>
      <c r="K29" s="28">
        <v>0</v>
      </c>
      <c r="L29" s="14">
        <f t="shared" si="10"/>
        <v>599386783.86000001</v>
      </c>
      <c r="M29" s="65">
        <f t="shared" si="11"/>
        <v>99.897797310000001</v>
      </c>
      <c r="N29" s="68">
        <f t="shared" si="12"/>
        <v>5.7570000000000003E-2</v>
      </c>
      <c r="O29" s="79">
        <f t="shared" si="13"/>
        <v>34542000</v>
      </c>
      <c r="P29" s="109">
        <f t="shared" si="14"/>
        <v>19</v>
      </c>
    </row>
    <row r="30" spans="1:16" s="25" customFormat="1">
      <c r="A30" s="108">
        <f t="shared" si="7"/>
        <v>20</v>
      </c>
      <c r="B30" s="63">
        <v>6.25E-2</v>
      </c>
      <c r="C30" s="20" t="s">
        <v>103</v>
      </c>
      <c r="D30" s="24">
        <f>DATE(2007,10,3)</f>
        <v>39358</v>
      </c>
      <c r="E30" s="24">
        <f>DATE(2037,10,15)</f>
        <v>50328</v>
      </c>
      <c r="F30" s="64">
        <f t="shared" si="8"/>
        <v>30.033333333333335</v>
      </c>
      <c r="G30" s="64">
        <f t="shared" si="9"/>
        <v>22.791666666666668</v>
      </c>
      <c r="H30" s="17">
        <v>600000000</v>
      </c>
      <c r="I30" s="101">
        <v>600000000</v>
      </c>
      <c r="J30" s="105">
        <f>-750000-4650000-477281.03</f>
        <v>-5877281.0300000003</v>
      </c>
      <c r="K30" s="28">
        <v>0</v>
      </c>
      <c r="L30" s="14">
        <f t="shared" si="10"/>
        <v>594122718.97000003</v>
      </c>
      <c r="M30" s="65">
        <f t="shared" si="11"/>
        <v>99.020453161666666</v>
      </c>
      <c r="N30" s="68">
        <f t="shared" si="12"/>
        <v>6.3229999999999995E-2</v>
      </c>
      <c r="O30" s="79">
        <f t="shared" si="13"/>
        <v>37938000</v>
      </c>
      <c r="P30" s="109">
        <f t="shared" ref="P30" si="19">A30</f>
        <v>20</v>
      </c>
    </row>
    <row r="31" spans="1:16" s="25" customFormat="1">
      <c r="A31" s="108">
        <f t="shared" si="7"/>
        <v>21</v>
      </c>
      <c r="B31" s="63">
        <v>6.3500000000000001E-2</v>
      </c>
      <c r="C31" s="20" t="s">
        <v>105</v>
      </c>
      <c r="D31" s="24">
        <f>DATE(2008,7,17)</f>
        <v>39646</v>
      </c>
      <c r="E31" s="24">
        <f>DATE(2038,7,15)</f>
        <v>50601</v>
      </c>
      <c r="F31" s="64">
        <f t="shared" si="8"/>
        <v>29.994444444444444</v>
      </c>
      <c r="G31" s="64">
        <f t="shared" si="9"/>
        <v>23.541666666666668</v>
      </c>
      <c r="H31" s="17">
        <v>300000000</v>
      </c>
      <c r="I31" s="101">
        <v>300000000</v>
      </c>
      <c r="J31" s="105">
        <f>-1671000-2100000-189957.54-375</f>
        <v>-3961332.54</v>
      </c>
      <c r="K31" s="28">
        <v>0</v>
      </c>
      <c r="L31" s="14">
        <f t="shared" si="10"/>
        <v>296038667.45999998</v>
      </c>
      <c r="M31" s="65">
        <f t="shared" si="11"/>
        <v>98.679555820000004</v>
      </c>
      <c r="N31" s="68">
        <f t="shared" si="12"/>
        <v>6.4500000000000002E-2</v>
      </c>
      <c r="O31" s="79">
        <f t="shared" si="13"/>
        <v>19350000</v>
      </c>
      <c r="P31" s="109">
        <f t="shared" ref="P31:P36" si="20">A31</f>
        <v>21</v>
      </c>
    </row>
    <row r="32" spans="1:16" s="25" customFormat="1">
      <c r="A32" s="108">
        <f t="shared" si="7"/>
        <v>22</v>
      </c>
      <c r="B32" s="63">
        <v>0.06</v>
      </c>
      <c r="C32" s="20" t="s">
        <v>107</v>
      </c>
      <c r="D32" s="24">
        <f>DATE(2009,1,8)</f>
        <v>39821</v>
      </c>
      <c r="E32" s="24">
        <f>DATE(2039,1,15)</f>
        <v>50785</v>
      </c>
      <c r="F32" s="64">
        <f t="shared" si="8"/>
        <v>30.019444444444446</v>
      </c>
      <c r="G32" s="64">
        <f t="shared" si="9"/>
        <v>24.041666666666668</v>
      </c>
      <c r="H32" s="17">
        <v>650000000</v>
      </c>
      <c r="I32" s="101">
        <v>650000000</v>
      </c>
      <c r="J32" s="105">
        <f>-6175000-5687500-436184.72-11002.1</f>
        <v>-12309686.82</v>
      </c>
      <c r="K32" s="28">
        <v>0</v>
      </c>
      <c r="L32" s="14">
        <f t="shared" si="10"/>
        <v>637690313.17999995</v>
      </c>
      <c r="M32" s="65">
        <f t="shared" si="11"/>
        <v>98.106202027692305</v>
      </c>
      <c r="N32" s="68">
        <f t="shared" si="12"/>
        <v>6.139E-2</v>
      </c>
      <c r="O32" s="79">
        <f t="shared" si="13"/>
        <v>39903500</v>
      </c>
      <c r="P32" s="109">
        <f t="shared" si="20"/>
        <v>22</v>
      </c>
    </row>
    <row r="33" spans="1:16" s="25" customFormat="1">
      <c r="A33" s="108">
        <f t="shared" si="7"/>
        <v>23</v>
      </c>
      <c r="B33" s="63">
        <v>4.1000000000000002E-2</v>
      </c>
      <c r="C33" s="20" t="s">
        <v>110</v>
      </c>
      <c r="D33" s="24">
        <f>DATE(2012,1,6)</f>
        <v>40914</v>
      </c>
      <c r="E33" s="24">
        <f>DATE(2042,2,1)</f>
        <v>51898</v>
      </c>
      <c r="F33" s="64">
        <f t="shared" si="8"/>
        <v>30.069444444444443</v>
      </c>
      <c r="G33" s="64">
        <f t="shared" si="9"/>
        <v>27.086111111111112</v>
      </c>
      <c r="H33" s="17">
        <v>300000000</v>
      </c>
      <c r="I33" s="101">
        <v>300000000</v>
      </c>
      <c r="J33" s="105">
        <f>-2400000-987000-337549.42-361.51</f>
        <v>-3724910.9299999997</v>
      </c>
      <c r="K33" s="28">
        <v>0</v>
      </c>
      <c r="L33" s="14">
        <f t="shared" si="10"/>
        <v>296275089.06999999</v>
      </c>
      <c r="M33" s="65">
        <f t="shared" si="11"/>
        <v>98.758363023333331</v>
      </c>
      <c r="N33" s="68">
        <f t="shared" si="12"/>
        <v>4.1730000000000003E-2</v>
      </c>
      <c r="O33" s="79">
        <f t="shared" si="13"/>
        <v>12519000.000000002</v>
      </c>
      <c r="P33" s="109">
        <f t="shared" si="20"/>
        <v>23</v>
      </c>
    </row>
    <row r="34" spans="1:16" s="25" customFormat="1">
      <c r="A34" s="108">
        <f t="shared" si="7"/>
        <v>24</v>
      </c>
      <c r="B34" s="69">
        <f>SUMPRODUCT(B18:B33,I18:I33)/I34</f>
        <v>5.2228215767634853E-2</v>
      </c>
      <c r="C34" s="21" t="s">
        <v>88</v>
      </c>
      <c r="D34" s="23"/>
      <c r="E34" s="23"/>
      <c r="F34" s="70">
        <f>SUMPRODUCT(F18:F33,I18:I33)/I34</f>
        <v>21.973374827109264</v>
      </c>
      <c r="G34" s="70">
        <f>SUMPRODUCT(G18:G33,I18:I33)/I34</f>
        <v>15.923317196864913</v>
      </c>
      <c r="H34" s="20"/>
      <c r="I34" s="81">
        <f>SUM(I18:I33)</f>
        <v>6025000000</v>
      </c>
      <c r="J34" s="81">
        <f>SUM(J18:J33)</f>
        <v>-62704984.910000004</v>
      </c>
      <c r="K34" s="81">
        <f>SUM(K18:K33)</f>
        <v>-8209862.5100000007</v>
      </c>
      <c r="L34" s="81">
        <f>SUM(L18:L33)</f>
        <v>5954085152.5799999</v>
      </c>
      <c r="M34" s="20"/>
      <c r="N34" s="71">
        <f>O34/I34</f>
        <v>5.3326597510373441E-2</v>
      </c>
      <c r="O34" s="82">
        <f>SUM(O18:O33)</f>
        <v>321292750</v>
      </c>
      <c r="P34" s="109">
        <f t="shared" si="20"/>
        <v>24</v>
      </c>
    </row>
    <row r="35" spans="1:16" s="25" customFormat="1">
      <c r="A35" s="108">
        <f t="shared" si="7"/>
        <v>25</v>
      </c>
      <c r="B35" s="69"/>
      <c r="C35" s="21"/>
      <c r="D35" s="23"/>
      <c r="E35" s="23"/>
      <c r="F35" s="70"/>
      <c r="G35" s="70"/>
      <c r="H35" s="20"/>
      <c r="I35" s="81"/>
      <c r="J35" s="81"/>
      <c r="K35" s="81"/>
      <c r="L35" s="81"/>
      <c r="M35" s="20"/>
      <c r="N35" s="71"/>
      <c r="O35" s="82"/>
      <c r="P35" s="109">
        <f t="shared" si="20"/>
        <v>25</v>
      </c>
    </row>
    <row r="36" spans="1:16" s="25" customFormat="1">
      <c r="A36" s="108">
        <f t="shared" si="7"/>
        <v>26</v>
      </c>
      <c r="B36" s="19">
        <v>8.5300000000000001E-2</v>
      </c>
      <c r="C36" s="20" t="s">
        <v>33</v>
      </c>
      <c r="D36" s="24">
        <f>DATE(1991,12,16)</f>
        <v>33588</v>
      </c>
      <c r="E36" s="83">
        <f>DATE(2021,12,16)</f>
        <v>44546</v>
      </c>
      <c r="F36" s="64">
        <f t="shared" ref="F36:F39" si="21">YEARFRAC(D36,E36)</f>
        <v>30</v>
      </c>
      <c r="G36" s="64">
        <f t="shared" ref="G36:G39" si="22">YEARFRAC($A$4,E36)</f>
        <v>6.9611111111111112</v>
      </c>
      <c r="H36" s="28">
        <v>15000000</v>
      </c>
      <c r="I36" s="102">
        <v>15000000</v>
      </c>
      <c r="J36" s="105">
        <f>-(112500+473.37+240.62+93.76+1468.75+450-25)</f>
        <v>-115201.49999999999</v>
      </c>
      <c r="K36" s="105">
        <v>-2053921.5</v>
      </c>
      <c r="L36" s="28">
        <f t="shared" ref="L36:L39" si="23">SUM(I36:K36)</f>
        <v>12830877</v>
      </c>
      <c r="M36" s="65">
        <f t="shared" ref="M36:M39" si="24">L36/I36*100</f>
        <v>85.539180000000002</v>
      </c>
      <c r="N36" s="68">
        <f t="shared" ref="N36:N39" si="25">ROUND(YIELD(D36,E36,B36,M36,100,2,0),5)</f>
        <v>0.10066</v>
      </c>
      <c r="O36" s="79">
        <f t="shared" ref="O36:O39" si="26">ROUND(N36,5)*I36</f>
        <v>1509900</v>
      </c>
      <c r="P36" s="109">
        <f t="shared" si="20"/>
        <v>26</v>
      </c>
    </row>
    <row r="37" spans="1:16" s="25" customFormat="1">
      <c r="A37" s="108">
        <f t="shared" si="7"/>
        <v>27</v>
      </c>
      <c r="B37" s="19">
        <v>8.3750000000000005E-2</v>
      </c>
      <c r="C37" s="20" t="s">
        <v>33</v>
      </c>
      <c r="D37" s="24">
        <f>DATE(1991,12,31)</f>
        <v>33603</v>
      </c>
      <c r="E37" s="83">
        <f>DATE(2021,12,31)</f>
        <v>44561</v>
      </c>
      <c r="F37" s="64">
        <f t="shared" si="21"/>
        <v>30</v>
      </c>
      <c r="G37" s="64">
        <f t="shared" si="22"/>
        <v>7</v>
      </c>
      <c r="H37" s="28">
        <v>5000000</v>
      </c>
      <c r="I37" s="102">
        <v>5000000</v>
      </c>
      <c r="J37" s="105">
        <f>-(37500+157.79+80.2+31.25+489.58+150-8.33)</f>
        <v>-38400.49</v>
      </c>
      <c r="K37" s="105">
        <v>-684640.5</v>
      </c>
      <c r="L37" s="28">
        <f t="shared" si="23"/>
        <v>4276959.01</v>
      </c>
      <c r="M37" s="65">
        <f t="shared" si="24"/>
        <v>85.539180200000004</v>
      </c>
      <c r="N37" s="68">
        <f t="shared" si="25"/>
        <v>9.8890000000000006E-2</v>
      </c>
      <c r="O37" s="79">
        <f t="shared" si="26"/>
        <v>494450</v>
      </c>
      <c r="P37" s="109">
        <f t="shared" si="6"/>
        <v>27</v>
      </c>
    </row>
    <row r="38" spans="1:16" s="25" customFormat="1">
      <c r="A38" s="108">
        <f t="shared" si="7"/>
        <v>28</v>
      </c>
      <c r="B38" s="19">
        <v>8.2600000000000007E-2</v>
      </c>
      <c r="C38" s="20" t="s">
        <v>34</v>
      </c>
      <c r="D38" s="24">
        <f>DATE(1992,1,8)</f>
        <v>33611</v>
      </c>
      <c r="E38" s="83">
        <f>DATE(2022,1,7)</f>
        <v>44568</v>
      </c>
      <c r="F38" s="64">
        <f t="shared" si="21"/>
        <v>29.997222222222224</v>
      </c>
      <c r="G38" s="64">
        <f t="shared" si="22"/>
        <v>7.0194444444444448</v>
      </c>
      <c r="H38" s="28">
        <v>5000000</v>
      </c>
      <c r="I38" s="102">
        <v>5000000</v>
      </c>
      <c r="J38" s="105">
        <f>-(32500+80.21+31.25+489.58+150-8.33)</f>
        <v>-33242.71</v>
      </c>
      <c r="K38" s="105">
        <v>-684640.5</v>
      </c>
      <c r="L38" s="28">
        <f t="shared" si="23"/>
        <v>4282116.79</v>
      </c>
      <c r="M38" s="65">
        <f t="shared" si="24"/>
        <v>85.642335799999998</v>
      </c>
      <c r="N38" s="68">
        <f t="shared" si="25"/>
        <v>9.7449999999999995E-2</v>
      </c>
      <c r="O38" s="79">
        <f t="shared" si="26"/>
        <v>487250</v>
      </c>
      <c r="P38" s="109">
        <f t="shared" si="6"/>
        <v>28</v>
      </c>
    </row>
    <row r="39" spans="1:16" s="25" customFormat="1">
      <c r="A39" s="108">
        <f t="shared" si="7"/>
        <v>29</v>
      </c>
      <c r="B39" s="19">
        <v>8.270000000000001E-2</v>
      </c>
      <c r="C39" s="20" t="s">
        <v>34</v>
      </c>
      <c r="D39" s="24">
        <f>DATE(1992,1,9)</f>
        <v>33612</v>
      </c>
      <c r="E39" s="83">
        <f>DATE(2022,1,10)</f>
        <v>44571</v>
      </c>
      <c r="F39" s="64">
        <f t="shared" si="21"/>
        <v>30.002777777777776</v>
      </c>
      <c r="G39" s="64">
        <f t="shared" si="22"/>
        <v>7.0277777777777777</v>
      </c>
      <c r="H39" s="28">
        <v>4000000</v>
      </c>
      <c r="I39" s="102">
        <v>4000000</v>
      </c>
      <c r="J39" s="105">
        <f>-(30000+64.17+25+391.67+120-6.67)</f>
        <v>-30594.17</v>
      </c>
      <c r="K39" s="105">
        <v>-547712.4</v>
      </c>
      <c r="L39" s="28">
        <f t="shared" si="23"/>
        <v>3421693.43</v>
      </c>
      <c r="M39" s="65">
        <f t="shared" si="24"/>
        <v>85.542335750000007</v>
      </c>
      <c r="N39" s="68">
        <f t="shared" si="25"/>
        <v>9.7680000000000003E-2</v>
      </c>
      <c r="O39" s="79">
        <f t="shared" si="26"/>
        <v>390720</v>
      </c>
      <c r="P39" s="109">
        <f t="shared" si="6"/>
        <v>29</v>
      </c>
    </row>
    <row r="40" spans="1:16" s="25" customFormat="1">
      <c r="A40" s="108">
        <f t="shared" si="7"/>
        <v>30</v>
      </c>
      <c r="B40" s="69">
        <f>SUMPRODUCT(B36:B39,I36:I39)/I40</f>
        <v>8.4208620689655178E-2</v>
      </c>
      <c r="C40" s="21" t="s">
        <v>70</v>
      </c>
      <c r="D40" s="24"/>
      <c r="E40" s="24"/>
      <c r="F40" s="70">
        <f>SUMPRODUCT(F36:F39,I36:I39)/I40</f>
        <v>29.99990421455939</v>
      </c>
      <c r="G40" s="70">
        <f>SUMPRODUCT(G36:G39,I36:I39)/I40</f>
        <v>6.9870689655172411</v>
      </c>
      <c r="H40" s="20"/>
      <c r="I40" s="81">
        <f>SUM(I36:I39)</f>
        <v>29000000</v>
      </c>
      <c r="J40" s="81">
        <f>SUM(J36:J39)</f>
        <v>-217438.87</v>
      </c>
      <c r="K40" s="81">
        <f>SUM(K36:K39)</f>
        <v>-3970914.9</v>
      </c>
      <c r="L40" s="81">
        <f>SUM(L36:L39)</f>
        <v>24811646.229999997</v>
      </c>
      <c r="M40" s="20"/>
      <c r="N40" s="71">
        <f>O40/I40</f>
        <v>9.9390344827586213E-2</v>
      </c>
      <c r="O40" s="82">
        <f>SUM(O36:O39)</f>
        <v>2882320</v>
      </c>
      <c r="P40" s="109">
        <f t="shared" si="6"/>
        <v>30</v>
      </c>
    </row>
    <row r="41" spans="1:16" s="25" customFormat="1">
      <c r="A41" s="108">
        <f t="shared" si="7"/>
        <v>31</v>
      </c>
      <c r="B41" s="23"/>
      <c r="C41" s="20"/>
      <c r="D41" s="24"/>
      <c r="E41" s="24"/>
      <c r="F41" s="64"/>
      <c r="G41" s="64"/>
      <c r="H41" s="20"/>
      <c r="I41" s="20"/>
      <c r="J41" s="72"/>
      <c r="K41" s="20"/>
      <c r="L41" s="14"/>
      <c r="M41" s="68"/>
      <c r="N41" s="68"/>
      <c r="O41" s="79"/>
      <c r="P41" s="109">
        <f t="shared" si="6"/>
        <v>31</v>
      </c>
    </row>
    <row r="42" spans="1:16" s="25" customFormat="1">
      <c r="A42" s="108">
        <f t="shared" si="7"/>
        <v>32</v>
      </c>
      <c r="B42" s="19">
        <v>8.0500000000000002E-2</v>
      </c>
      <c r="C42" s="20" t="s">
        <v>35</v>
      </c>
      <c r="D42" s="83">
        <f>DATE(1992,9,18)</f>
        <v>33865</v>
      </c>
      <c r="E42" s="84">
        <f>DATE(2022,9,1)</f>
        <v>44805</v>
      </c>
      <c r="F42" s="64">
        <f t="shared" ref="F42:F50" si="27">YEARFRAC(D42,E42)</f>
        <v>29.952777777777779</v>
      </c>
      <c r="G42" s="64">
        <f t="shared" ref="G42:G50" si="28">YEARFRAC($A$4,E42)</f>
        <v>7.6694444444444443</v>
      </c>
      <c r="H42" s="28">
        <v>15000000</v>
      </c>
      <c r="I42" s="102">
        <v>15000000</v>
      </c>
      <c r="J42" s="105">
        <f>-(112500+11357.11+3127.91+233.41+3012.2+490.27+379.71+824.03+1068.66+1044.13+175.82+116.14+31.69+23.55+135.95+11.85+169.91+149.66-3380.62)</f>
        <v>-131471.38000000006</v>
      </c>
      <c r="K42" s="105">
        <v>-1695566.05</v>
      </c>
      <c r="L42" s="28">
        <f t="shared" ref="L42:L50" si="29">SUM(I42:K42)</f>
        <v>13172962.569999998</v>
      </c>
      <c r="M42" s="65">
        <f t="shared" ref="M42:M50" si="30">L42/I42*100</f>
        <v>87.819750466666662</v>
      </c>
      <c r="N42" s="68">
        <f t="shared" ref="N42:N50" si="31">ROUND(YIELD(D42,E42,B42,M42,100,2,0),5)</f>
        <v>9.257E-2</v>
      </c>
      <c r="O42" s="79">
        <f t="shared" ref="O42:O50" si="32">ROUND(N42,5)*I42</f>
        <v>1388550</v>
      </c>
      <c r="P42" s="109">
        <f t="shared" si="6"/>
        <v>32</v>
      </c>
    </row>
    <row r="43" spans="1:16" s="25" customFormat="1">
      <c r="A43" s="108">
        <f t="shared" si="7"/>
        <v>33</v>
      </c>
      <c r="B43" s="19">
        <v>8.0700000000000008E-2</v>
      </c>
      <c r="C43" s="20" t="s">
        <v>35</v>
      </c>
      <c r="D43" s="83">
        <f>DATE(1992,9,9)</f>
        <v>33856</v>
      </c>
      <c r="E43" s="84">
        <f>DATE(2022,9,9)</f>
        <v>44813</v>
      </c>
      <c r="F43" s="64">
        <f t="shared" si="27"/>
        <v>30</v>
      </c>
      <c r="G43" s="64">
        <f t="shared" si="28"/>
        <v>7.6916666666666664</v>
      </c>
      <c r="H43" s="28">
        <v>8000000</v>
      </c>
      <c r="I43" s="102">
        <v>8000000</v>
      </c>
      <c r="J43" s="105">
        <f>-(60000+6057.13+1668.22+124.49+1606.51+261.48+202.51+439.48+569.95+556.87+93.77+61.94+16.9+12.56+72.51+6.32+90.62+79.82-1803)</f>
        <v>-70118.079999999987</v>
      </c>
      <c r="K43" s="105">
        <v>-904301.89</v>
      </c>
      <c r="L43" s="28">
        <f t="shared" si="29"/>
        <v>7025580.0300000003</v>
      </c>
      <c r="M43" s="65">
        <f t="shared" si="30"/>
        <v>87.819750375000012</v>
      </c>
      <c r="N43" s="68">
        <f t="shared" si="31"/>
        <v>9.2799999999999994E-2</v>
      </c>
      <c r="O43" s="79">
        <f t="shared" si="32"/>
        <v>742400</v>
      </c>
      <c r="P43" s="109">
        <f t="shared" si="6"/>
        <v>33</v>
      </c>
    </row>
    <row r="44" spans="1:16" s="25" customFormat="1">
      <c r="A44" s="108">
        <f t="shared" si="7"/>
        <v>34</v>
      </c>
      <c r="B44" s="19">
        <v>8.1100000000000005E-2</v>
      </c>
      <c r="C44" s="20" t="s">
        <v>35</v>
      </c>
      <c r="D44" s="83">
        <f>DATE(1992,9,11)</f>
        <v>33858</v>
      </c>
      <c r="E44" s="84">
        <f>DATE(2022,9,9)</f>
        <v>44813</v>
      </c>
      <c r="F44" s="64">
        <f t="shared" si="27"/>
        <v>29.994444444444444</v>
      </c>
      <c r="G44" s="64">
        <f t="shared" si="28"/>
        <v>7.6916666666666664</v>
      </c>
      <c r="H44" s="28">
        <v>12000000</v>
      </c>
      <c r="I44" s="102">
        <v>12000000</v>
      </c>
      <c r="J44" s="105">
        <f>-(90000+9085.69+2502.33+186.73+2409.76+392.22+303.77+659.22+854.93+835.31+140.66+92.92+25.35+18.84+108.76+9.48+135.93+119.73-2704.5)</f>
        <v>-105177.12999999998</v>
      </c>
      <c r="K44" s="105">
        <v>-1356452.84</v>
      </c>
      <c r="L44" s="28">
        <f t="shared" si="29"/>
        <v>10538370.029999999</v>
      </c>
      <c r="M44" s="65">
        <f t="shared" si="30"/>
        <v>87.819750249999998</v>
      </c>
      <c r="N44" s="68">
        <f t="shared" si="31"/>
        <v>9.325E-2</v>
      </c>
      <c r="O44" s="79">
        <f t="shared" si="32"/>
        <v>1119000</v>
      </c>
      <c r="P44" s="109">
        <f t="shared" si="6"/>
        <v>34</v>
      </c>
    </row>
    <row r="45" spans="1:16" s="25" customFormat="1">
      <c r="A45" s="108">
        <f t="shared" si="7"/>
        <v>35</v>
      </c>
      <c r="B45" s="19">
        <v>8.1200000000000008E-2</v>
      </c>
      <c r="C45" s="20" t="s">
        <v>35</v>
      </c>
      <c r="D45" s="83">
        <f>DATE(1992,9,11)</f>
        <v>33858</v>
      </c>
      <c r="E45" s="84">
        <f>DATE(2022,9,9)</f>
        <v>44813</v>
      </c>
      <c r="F45" s="64">
        <f t="shared" si="27"/>
        <v>29.994444444444444</v>
      </c>
      <c r="G45" s="64">
        <f t="shared" si="28"/>
        <v>7.6916666666666664</v>
      </c>
      <c r="H45" s="28">
        <v>50000000</v>
      </c>
      <c r="I45" s="102">
        <v>50000000</v>
      </c>
      <c r="J45" s="105">
        <f>-(375000+37857.05+10426.39+778.02+10040.66+1634.24+1265.7+2746.76+3562.22+3480.45+586.07+387.15+105.64+78.5+453.17+39.5+566.38+498.86-11268.74)</f>
        <v>-438238.02</v>
      </c>
      <c r="K45" s="105">
        <v>-5651886.8399999999</v>
      </c>
      <c r="L45" s="28">
        <f t="shared" si="29"/>
        <v>43909875.140000001</v>
      </c>
      <c r="M45" s="65">
        <f t="shared" si="30"/>
        <v>87.819750279999994</v>
      </c>
      <c r="N45" s="68">
        <f t="shared" si="31"/>
        <v>9.3359999999999999E-2</v>
      </c>
      <c r="O45" s="79">
        <f t="shared" si="32"/>
        <v>4668000</v>
      </c>
      <c r="P45" s="109">
        <f t="shared" si="6"/>
        <v>35</v>
      </c>
    </row>
    <row r="46" spans="1:16" s="25" customFormat="1">
      <c r="A46" s="108">
        <f t="shared" si="7"/>
        <v>36</v>
      </c>
      <c r="B46" s="19">
        <v>8.0500000000000002E-2</v>
      </c>
      <c r="C46" s="20" t="s">
        <v>35</v>
      </c>
      <c r="D46" s="83">
        <f>DATE(1992,9,14)</f>
        <v>33861</v>
      </c>
      <c r="E46" s="84">
        <f>DATE(2022,9,14)</f>
        <v>44818</v>
      </c>
      <c r="F46" s="64">
        <f t="shared" si="27"/>
        <v>30</v>
      </c>
      <c r="G46" s="64">
        <f t="shared" si="28"/>
        <v>7.7055555555555557</v>
      </c>
      <c r="H46" s="28">
        <v>10000000</v>
      </c>
      <c r="I46" s="102">
        <v>10000000</v>
      </c>
      <c r="J46" s="105">
        <f>-(75000+7571.41+2085.28+155.6+2008.13+326.85+253.14+549.35+712.44+696.09+117.21+77.43+21.13+15.7+90.63+7.9+113.27+99.77-2253.75)</f>
        <v>-87647.580000000031</v>
      </c>
      <c r="K46" s="105">
        <v>-1130377.3700000001</v>
      </c>
      <c r="L46" s="28">
        <f t="shared" si="29"/>
        <v>8781975.0500000007</v>
      </c>
      <c r="M46" s="65">
        <f t="shared" si="30"/>
        <v>87.819750499999998</v>
      </c>
      <c r="N46" s="68">
        <f t="shared" si="31"/>
        <v>9.2579999999999996E-2</v>
      </c>
      <c r="O46" s="79">
        <f t="shared" si="32"/>
        <v>925800</v>
      </c>
      <c r="P46" s="109">
        <f t="shared" si="6"/>
        <v>36</v>
      </c>
    </row>
    <row r="47" spans="1:16" s="25" customFormat="1">
      <c r="A47" s="108">
        <f t="shared" si="7"/>
        <v>37</v>
      </c>
      <c r="B47" s="19">
        <v>8.0800000000000011E-2</v>
      </c>
      <c r="C47" s="20" t="s">
        <v>36</v>
      </c>
      <c r="D47" s="83">
        <f>DATE(1992,10,15)</f>
        <v>33892</v>
      </c>
      <c r="E47" s="84">
        <f>DATE(2022,10,14)</f>
        <v>44848</v>
      </c>
      <c r="F47" s="64">
        <f t="shared" si="27"/>
        <v>29.997222222222224</v>
      </c>
      <c r="G47" s="64">
        <f t="shared" si="28"/>
        <v>7.7888888888888888</v>
      </c>
      <c r="H47" s="28">
        <v>25000000</v>
      </c>
      <c r="I47" s="102">
        <v>25000000</v>
      </c>
      <c r="J47" s="105">
        <f>-(187500+5213.19+389.01+5020.33+817.12+632.85+1373.38+1781.11+1740.22+293.04+193.58+52.82+39.25+226.58+19.75+283.19+249.43-5634.37)</f>
        <v>-200190.47999999998</v>
      </c>
      <c r="K47" s="105">
        <f>-(942395.61+1119231.5)</f>
        <v>-2061627.1099999999</v>
      </c>
      <c r="L47" s="28">
        <f t="shared" si="29"/>
        <v>22738182.41</v>
      </c>
      <c r="M47" s="65">
        <f t="shared" si="30"/>
        <v>90.952729640000001</v>
      </c>
      <c r="N47" s="68">
        <f t="shared" si="31"/>
        <v>8.9529999999999998E-2</v>
      </c>
      <c r="O47" s="79">
        <f t="shared" si="32"/>
        <v>2238250</v>
      </c>
      <c r="P47" s="109">
        <f t="shared" si="6"/>
        <v>37</v>
      </c>
    </row>
    <row r="48" spans="1:16" s="25" customFormat="1">
      <c r="A48" s="108">
        <f t="shared" si="7"/>
        <v>38</v>
      </c>
      <c r="B48" s="19">
        <v>8.0800000000000011E-2</v>
      </c>
      <c r="C48" s="20" t="s">
        <v>36</v>
      </c>
      <c r="D48" s="83">
        <f>DATE(1992,10,15)</f>
        <v>33892</v>
      </c>
      <c r="E48" s="84">
        <f>DATE(2022,10,14)</f>
        <v>44848</v>
      </c>
      <c r="F48" s="64">
        <f t="shared" si="27"/>
        <v>29.997222222222224</v>
      </c>
      <c r="G48" s="64">
        <f t="shared" si="28"/>
        <v>7.7888888888888888</v>
      </c>
      <c r="H48" s="28">
        <v>26000000</v>
      </c>
      <c r="I48" s="102">
        <v>26000000</v>
      </c>
      <c r="J48" s="105">
        <f>-(195000+5421.72+404.57+5221.14+849.8+658.16+1428.31+1852.35+1809.83+304.76+201.32+54.93+40.82+235.65+20.54+294.52+259.41-5859.74)</f>
        <v>-208198.09000000003</v>
      </c>
      <c r="K48" s="105">
        <v>-2938981.15</v>
      </c>
      <c r="L48" s="28">
        <f t="shared" si="29"/>
        <v>22852820.760000002</v>
      </c>
      <c r="M48" s="65">
        <f t="shared" si="30"/>
        <v>87.895464461538467</v>
      </c>
      <c r="N48" s="68">
        <f t="shared" si="31"/>
        <v>9.2829999999999996E-2</v>
      </c>
      <c r="O48" s="79">
        <f t="shared" si="32"/>
        <v>2413580</v>
      </c>
      <c r="P48" s="109">
        <f t="shared" si="6"/>
        <v>38</v>
      </c>
    </row>
    <row r="49" spans="1:16" s="25" customFormat="1">
      <c r="A49" s="108">
        <f t="shared" si="7"/>
        <v>39</v>
      </c>
      <c r="B49" s="19">
        <v>8.2299999999999998E-2</v>
      </c>
      <c r="C49" s="20" t="s">
        <v>37</v>
      </c>
      <c r="D49" s="83">
        <f>DATE(1993,1,29)</f>
        <v>33998</v>
      </c>
      <c r="E49" s="84">
        <f>DATE(2023,1,20)</f>
        <v>44946</v>
      </c>
      <c r="F49" s="64">
        <f t="shared" si="27"/>
        <v>29.975000000000001</v>
      </c>
      <c r="G49" s="64">
        <f t="shared" si="28"/>
        <v>8.0555555555555554</v>
      </c>
      <c r="H49" s="28">
        <v>4000000</v>
      </c>
      <c r="I49" s="102">
        <v>4000000</v>
      </c>
      <c r="J49" s="28">
        <f>-(30000+130.74+101.26+219.74+284.98+278.44+46.89+30.97+8.45+6.28+36.25+3.16+45.31+39.91-901.5)+81560</f>
        <v>51229.119999999995</v>
      </c>
      <c r="K49" s="105">
        <v>-88988.58</v>
      </c>
      <c r="L49" s="28">
        <f t="shared" si="29"/>
        <v>3962240.54</v>
      </c>
      <c r="M49" s="65">
        <f t="shared" si="30"/>
        <v>99.056013500000006</v>
      </c>
      <c r="N49" s="68">
        <f t="shared" si="31"/>
        <v>8.3159999999999998E-2</v>
      </c>
      <c r="O49" s="79">
        <f t="shared" si="32"/>
        <v>332640</v>
      </c>
      <c r="P49" s="109">
        <f t="shared" si="6"/>
        <v>39</v>
      </c>
    </row>
    <row r="50" spans="1:16" s="25" customFormat="1">
      <c r="A50" s="108">
        <f t="shared" si="7"/>
        <v>40</v>
      </c>
      <c r="B50" s="19">
        <v>8.2299999999999998E-2</v>
      </c>
      <c r="C50" s="20" t="s">
        <v>37</v>
      </c>
      <c r="D50" s="83">
        <f>DATE(1993,1,20)</f>
        <v>33989</v>
      </c>
      <c r="E50" s="84">
        <f>DATE(2023,1,20)</f>
        <v>44946</v>
      </c>
      <c r="F50" s="64">
        <f t="shared" si="27"/>
        <v>30</v>
      </c>
      <c r="G50" s="64">
        <f t="shared" si="28"/>
        <v>8.0555555555555554</v>
      </c>
      <c r="H50" s="28">
        <v>5000000</v>
      </c>
      <c r="I50" s="102">
        <v>5000000</v>
      </c>
      <c r="J50" s="105">
        <f>-(37500+163.42+126.57+274.68+356.22+348.04+58.61+38.71+10.56+7.85+45.32+3.95+56.64+49.89-1126.87)</f>
        <v>-37913.589999999989</v>
      </c>
      <c r="K50" s="105">
        <v>-335843.38</v>
      </c>
      <c r="L50" s="28">
        <f t="shared" si="29"/>
        <v>4626243.03</v>
      </c>
      <c r="M50" s="65">
        <f t="shared" si="30"/>
        <v>92.524860599999997</v>
      </c>
      <c r="N50" s="68">
        <f t="shared" si="31"/>
        <v>8.9510000000000006E-2</v>
      </c>
      <c r="O50" s="79">
        <f t="shared" si="32"/>
        <v>447550.00000000006</v>
      </c>
      <c r="P50" s="109">
        <f t="shared" si="6"/>
        <v>40</v>
      </c>
    </row>
    <row r="51" spans="1:16" s="25" customFormat="1">
      <c r="A51" s="108">
        <f t="shared" si="7"/>
        <v>41</v>
      </c>
      <c r="B51" s="69">
        <f>SUMPRODUCT(B42:B50,I42:I50)/I51</f>
        <v>8.0985806451612907E-2</v>
      </c>
      <c r="C51" s="21" t="s">
        <v>71</v>
      </c>
      <c r="D51" s="24"/>
      <c r="E51" s="24"/>
      <c r="F51" s="70">
        <f>SUMPRODUCT(F42:F50,I42:I50)/I51</f>
        <v>29.991648745519711</v>
      </c>
      <c r="G51" s="70">
        <f>SUMPRODUCT(G42:G50,I42:I50)/I51</f>
        <v>7.7435304659498199</v>
      </c>
      <c r="H51" s="20"/>
      <c r="I51" s="81">
        <f>SUM(I42:I50)</f>
        <v>155000000</v>
      </c>
      <c r="J51" s="81">
        <f>SUM(J42:J50)</f>
        <v>-1227725.2300000002</v>
      </c>
      <c r="K51" s="81">
        <f>SUM(K42:K50)</f>
        <v>-16164025.210000003</v>
      </c>
      <c r="L51" s="81">
        <f>SUM(L42:L50)</f>
        <v>137608249.56</v>
      </c>
      <c r="M51" s="20"/>
      <c r="N51" s="71">
        <f>O51/I51</f>
        <v>9.2101741935483872E-2</v>
      </c>
      <c r="O51" s="82">
        <f>SUM(O42:O50)</f>
        <v>14275770</v>
      </c>
      <c r="P51" s="109">
        <f t="shared" si="6"/>
        <v>41</v>
      </c>
    </row>
    <row r="52" spans="1:16" s="25" customFormat="1">
      <c r="A52" s="108">
        <f t="shared" si="7"/>
        <v>42</v>
      </c>
      <c r="B52" s="23"/>
      <c r="C52" s="20"/>
      <c r="D52" s="24"/>
      <c r="E52" s="24"/>
      <c r="F52" s="64"/>
      <c r="G52" s="64"/>
      <c r="H52" s="20"/>
      <c r="I52" s="20"/>
      <c r="J52" s="72"/>
      <c r="K52" s="20"/>
      <c r="L52" s="14"/>
      <c r="M52" s="68"/>
      <c r="N52" s="68"/>
      <c r="O52" s="79"/>
      <c r="P52" s="109">
        <f t="shared" si="6"/>
        <v>42</v>
      </c>
    </row>
    <row r="53" spans="1:16" s="25" customFormat="1">
      <c r="A53" s="108">
        <f t="shared" si="7"/>
        <v>43</v>
      </c>
      <c r="B53" s="19">
        <v>7.2599999999999998E-2</v>
      </c>
      <c r="C53" s="20" t="s">
        <v>38</v>
      </c>
      <c r="D53" s="24">
        <f>DATE(1993,7,22)</f>
        <v>34172</v>
      </c>
      <c r="E53" s="84">
        <f>DATE(2023,7,21)</f>
        <v>45128</v>
      </c>
      <c r="F53" s="64">
        <f t="shared" ref="F53:F62" si="33">YEARFRAC(D53,E53)</f>
        <v>29.997222222222224</v>
      </c>
      <c r="G53" s="64">
        <f t="shared" ref="G53:G62" si="34">YEARFRAC($A$4,E53)</f>
        <v>8.5583333333333336</v>
      </c>
      <c r="H53" s="28">
        <v>11000000</v>
      </c>
      <c r="I53" s="102">
        <v>11000000</v>
      </c>
      <c r="J53" s="105">
        <v>-100622</v>
      </c>
      <c r="K53" s="105">
        <v>-589062</v>
      </c>
      <c r="L53" s="28">
        <f t="shared" ref="L53:L62" si="35">SUM(I53:K53)</f>
        <v>10310316</v>
      </c>
      <c r="M53" s="65">
        <f t="shared" ref="M53:M62" si="36">L53/I53*100</f>
        <v>93.73014545454545</v>
      </c>
      <c r="N53" s="68">
        <f t="shared" ref="N53:N62" si="37">ROUND(YIELD(D53,E53,B53,M53,100,2,0),5)</f>
        <v>7.8039999999999998E-2</v>
      </c>
      <c r="O53" s="79">
        <f t="shared" ref="O53:O62" si="38">ROUND(N53,5)*I53</f>
        <v>858440</v>
      </c>
      <c r="P53" s="109">
        <f t="shared" si="6"/>
        <v>43</v>
      </c>
    </row>
    <row r="54" spans="1:16" s="25" customFormat="1">
      <c r="A54" s="108">
        <f t="shared" si="7"/>
        <v>44</v>
      </c>
      <c r="B54" s="19">
        <v>7.2599999999999998E-2</v>
      </c>
      <c r="C54" s="20" t="s">
        <v>38</v>
      </c>
      <c r="D54" s="24">
        <f>DATE(1993,7,22)</f>
        <v>34172</v>
      </c>
      <c r="E54" s="84">
        <f>DATE(2023,7,21)</f>
        <v>45128</v>
      </c>
      <c r="F54" s="64">
        <f t="shared" si="33"/>
        <v>29.997222222222224</v>
      </c>
      <c r="G54" s="64">
        <f t="shared" si="34"/>
        <v>8.5583333333333336</v>
      </c>
      <c r="H54" s="28">
        <v>27000000</v>
      </c>
      <c r="I54" s="102">
        <v>27000000</v>
      </c>
      <c r="J54" s="105">
        <v>-246981</v>
      </c>
      <c r="K54" s="105">
        <v>-1445879.9</v>
      </c>
      <c r="L54" s="28">
        <f t="shared" si="35"/>
        <v>25307139.100000001</v>
      </c>
      <c r="M54" s="65">
        <f t="shared" si="36"/>
        <v>93.730144814814821</v>
      </c>
      <c r="N54" s="68">
        <f t="shared" si="37"/>
        <v>7.8039999999999998E-2</v>
      </c>
      <c r="O54" s="79">
        <f t="shared" si="38"/>
        <v>2107080</v>
      </c>
      <c r="P54" s="109">
        <f t="shared" si="6"/>
        <v>44</v>
      </c>
    </row>
    <row r="55" spans="1:16" s="25" customFormat="1">
      <c r="A55" s="108">
        <f t="shared" si="7"/>
        <v>45</v>
      </c>
      <c r="B55" s="19">
        <v>7.2300000000000003E-2</v>
      </c>
      <c r="C55" s="20" t="s">
        <v>39</v>
      </c>
      <c r="D55" s="24">
        <f>DATE(1993,8,16)</f>
        <v>34197</v>
      </c>
      <c r="E55" s="84">
        <f>DATE(2023,8,16)</f>
        <v>45154</v>
      </c>
      <c r="F55" s="64">
        <f t="shared" si="33"/>
        <v>30</v>
      </c>
      <c r="G55" s="64">
        <f t="shared" si="34"/>
        <v>8.6277777777777782</v>
      </c>
      <c r="H55" s="28">
        <v>15000000</v>
      </c>
      <c r="I55" s="102">
        <v>15000000</v>
      </c>
      <c r="J55" s="105">
        <v>-137211</v>
      </c>
      <c r="K55" s="105">
        <f>-504373+235749</f>
        <v>-268624</v>
      </c>
      <c r="L55" s="28">
        <f t="shared" si="35"/>
        <v>14594165</v>
      </c>
      <c r="M55" s="65">
        <f t="shared" si="36"/>
        <v>97.29443333333333</v>
      </c>
      <c r="N55" s="68">
        <f t="shared" si="37"/>
        <v>7.4569999999999997E-2</v>
      </c>
      <c r="O55" s="79">
        <f t="shared" si="38"/>
        <v>1118550</v>
      </c>
      <c r="P55" s="109">
        <f t="shared" si="6"/>
        <v>45</v>
      </c>
    </row>
    <row r="56" spans="1:16" s="25" customFormat="1">
      <c r="A56" s="108">
        <f t="shared" si="7"/>
        <v>46</v>
      </c>
      <c r="B56" s="19">
        <v>7.2400000000000006E-2</v>
      </c>
      <c r="C56" s="20" t="s">
        <v>39</v>
      </c>
      <c r="D56" s="24">
        <f>DATE(1993,8,16)</f>
        <v>34197</v>
      </c>
      <c r="E56" s="84">
        <f>DATE(2023,8,16)</f>
        <v>45154</v>
      </c>
      <c r="F56" s="64">
        <f t="shared" si="33"/>
        <v>30</v>
      </c>
      <c r="G56" s="64">
        <f t="shared" si="34"/>
        <v>8.6277777777777782</v>
      </c>
      <c r="H56" s="28">
        <v>30000000</v>
      </c>
      <c r="I56" s="102">
        <v>30000000</v>
      </c>
      <c r="J56" s="105">
        <v>-274423</v>
      </c>
      <c r="K56" s="105">
        <f>-1008746+471498</f>
        <v>-537248</v>
      </c>
      <c r="L56" s="28">
        <f t="shared" si="35"/>
        <v>29188329</v>
      </c>
      <c r="M56" s="65">
        <f t="shared" si="36"/>
        <v>97.294430000000006</v>
      </c>
      <c r="N56" s="68">
        <f t="shared" si="37"/>
        <v>7.467E-2</v>
      </c>
      <c r="O56" s="79">
        <f t="shared" si="38"/>
        <v>2240100</v>
      </c>
      <c r="P56" s="109">
        <f t="shared" si="6"/>
        <v>46</v>
      </c>
    </row>
    <row r="57" spans="1:16" s="25" customFormat="1">
      <c r="A57" s="108">
        <f t="shared" si="7"/>
        <v>47</v>
      </c>
      <c r="B57" s="19">
        <v>6.7500000000000004E-2</v>
      </c>
      <c r="C57" s="20" t="s">
        <v>40</v>
      </c>
      <c r="D57" s="83">
        <f>DATE(1993,9,14)</f>
        <v>34226</v>
      </c>
      <c r="E57" s="84">
        <f>DATE(2023,9,14)</f>
        <v>45183</v>
      </c>
      <c r="F57" s="64">
        <f t="shared" si="33"/>
        <v>30</v>
      </c>
      <c r="G57" s="64">
        <f t="shared" si="34"/>
        <v>8.7055555555555557</v>
      </c>
      <c r="H57" s="28">
        <v>2000000</v>
      </c>
      <c r="I57" s="102">
        <v>2000000</v>
      </c>
      <c r="J57" s="105">
        <v>-15300</v>
      </c>
      <c r="K57" s="28">
        <v>0</v>
      </c>
      <c r="L57" s="28">
        <f t="shared" si="35"/>
        <v>1984700</v>
      </c>
      <c r="M57" s="65">
        <f t="shared" si="36"/>
        <v>99.234999999999999</v>
      </c>
      <c r="N57" s="68">
        <f t="shared" si="37"/>
        <v>6.8099999999999994E-2</v>
      </c>
      <c r="O57" s="79">
        <f t="shared" si="38"/>
        <v>136200</v>
      </c>
      <c r="P57" s="109">
        <f t="shared" si="6"/>
        <v>47</v>
      </c>
    </row>
    <row r="58" spans="1:16" s="25" customFormat="1">
      <c r="A58" s="108">
        <f t="shared" si="7"/>
        <v>48</v>
      </c>
      <c r="B58" s="19">
        <v>6.720000000000001E-2</v>
      </c>
      <c r="C58" s="20" t="s">
        <v>40</v>
      </c>
      <c r="D58" s="83">
        <f>DATE(1993,9,14)</f>
        <v>34226</v>
      </c>
      <c r="E58" s="84">
        <f>DATE(2023,9,14)</f>
        <v>45183</v>
      </c>
      <c r="F58" s="64">
        <f t="shared" si="33"/>
        <v>30</v>
      </c>
      <c r="G58" s="64">
        <f t="shared" si="34"/>
        <v>8.7055555555555557</v>
      </c>
      <c r="H58" s="28">
        <v>2000000</v>
      </c>
      <c r="I58" s="102">
        <v>2000000</v>
      </c>
      <c r="J58" s="105">
        <v>-15300</v>
      </c>
      <c r="K58" s="28">
        <v>0</v>
      </c>
      <c r="L58" s="28">
        <f t="shared" si="35"/>
        <v>1984700</v>
      </c>
      <c r="M58" s="65">
        <f t="shared" si="36"/>
        <v>99.234999999999999</v>
      </c>
      <c r="N58" s="68">
        <f t="shared" si="37"/>
        <v>6.7799999999999999E-2</v>
      </c>
      <c r="O58" s="79">
        <f t="shared" si="38"/>
        <v>135600</v>
      </c>
      <c r="P58" s="109">
        <f t="shared" si="6"/>
        <v>48</v>
      </c>
    </row>
    <row r="59" spans="1:16" s="25" customFormat="1">
      <c r="A59" s="108">
        <f t="shared" si="7"/>
        <v>49</v>
      </c>
      <c r="B59" s="19">
        <v>6.7500000000000004E-2</v>
      </c>
      <c r="C59" s="20" t="s">
        <v>40</v>
      </c>
      <c r="D59" s="83">
        <f>DATE(1993,9,14)</f>
        <v>34226</v>
      </c>
      <c r="E59" s="84">
        <f>DATE(2023,9,14)</f>
        <v>45183</v>
      </c>
      <c r="F59" s="64">
        <f t="shared" si="33"/>
        <v>30</v>
      </c>
      <c r="G59" s="64">
        <f t="shared" si="34"/>
        <v>8.7055555555555557</v>
      </c>
      <c r="H59" s="28">
        <v>5000000</v>
      </c>
      <c r="I59" s="102">
        <v>5000000</v>
      </c>
      <c r="J59" s="105">
        <v>-38250</v>
      </c>
      <c r="K59" s="105">
        <f>-64156+29987</f>
        <v>-34169</v>
      </c>
      <c r="L59" s="28">
        <f t="shared" si="35"/>
        <v>4927581</v>
      </c>
      <c r="M59" s="65">
        <f t="shared" si="36"/>
        <v>98.55162</v>
      </c>
      <c r="N59" s="68">
        <f t="shared" si="37"/>
        <v>6.8650000000000003E-2</v>
      </c>
      <c r="O59" s="79">
        <f t="shared" si="38"/>
        <v>343250</v>
      </c>
      <c r="P59" s="109">
        <f t="shared" si="6"/>
        <v>49</v>
      </c>
    </row>
    <row r="60" spans="1:16" s="25" customFormat="1">
      <c r="A60" s="108">
        <f t="shared" si="7"/>
        <v>50</v>
      </c>
      <c r="B60" s="19">
        <v>6.7500000000000004E-2</v>
      </c>
      <c r="C60" s="20" t="s">
        <v>41</v>
      </c>
      <c r="D60" s="83">
        <f>DATE(1993,10,26)</f>
        <v>34268</v>
      </c>
      <c r="E60" s="84">
        <f>DATE(2023,10,26)</f>
        <v>45225</v>
      </c>
      <c r="F60" s="64">
        <f t="shared" si="33"/>
        <v>30</v>
      </c>
      <c r="G60" s="64">
        <f t="shared" si="34"/>
        <v>8.8222222222222229</v>
      </c>
      <c r="H60" s="28">
        <v>12000000</v>
      </c>
      <c r="I60" s="102">
        <v>12000000</v>
      </c>
      <c r="J60" s="105">
        <v>-91396</v>
      </c>
      <c r="K60" s="28">
        <v>0</v>
      </c>
      <c r="L60" s="28">
        <f t="shared" si="35"/>
        <v>11908604</v>
      </c>
      <c r="M60" s="65">
        <f t="shared" si="36"/>
        <v>99.238366666666664</v>
      </c>
      <c r="N60" s="68">
        <f t="shared" si="37"/>
        <v>6.8099999999999994E-2</v>
      </c>
      <c r="O60" s="79">
        <f t="shared" si="38"/>
        <v>817199.99999999988</v>
      </c>
      <c r="P60" s="109">
        <f t="shared" si="6"/>
        <v>50</v>
      </c>
    </row>
    <row r="61" spans="1:16" s="25" customFormat="1">
      <c r="A61" s="108">
        <f t="shared" si="7"/>
        <v>51</v>
      </c>
      <c r="B61" s="19">
        <v>6.7500000000000004E-2</v>
      </c>
      <c r="C61" s="20" t="s">
        <v>41</v>
      </c>
      <c r="D61" s="83">
        <f t="shared" ref="D61:D62" si="39">DATE(1993,10,26)</f>
        <v>34268</v>
      </c>
      <c r="E61" s="84">
        <f>DATE(2023,10,26)</f>
        <v>45225</v>
      </c>
      <c r="F61" s="64">
        <f t="shared" si="33"/>
        <v>30</v>
      </c>
      <c r="G61" s="64">
        <f t="shared" si="34"/>
        <v>8.8222222222222229</v>
      </c>
      <c r="H61" s="28">
        <v>16000000</v>
      </c>
      <c r="I61" s="102">
        <v>16000000</v>
      </c>
      <c r="J61" s="105">
        <v>-121861</v>
      </c>
      <c r="K61" s="28">
        <v>0</v>
      </c>
      <c r="L61" s="28">
        <f t="shared" si="35"/>
        <v>15878139</v>
      </c>
      <c r="M61" s="65">
        <f t="shared" si="36"/>
        <v>99.238368749999992</v>
      </c>
      <c r="N61" s="68">
        <f t="shared" si="37"/>
        <v>6.8099999999999994E-2</v>
      </c>
      <c r="O61" s="79">
        <f t="shared" si="38"/>
        <v>1089600</v>
      </c>
      <c r="P61" s="109">
        <f t="shared" si="6"/>
        <v>51</v>
      </c>
    </row>
    <row r="62" spans="1:16" s="25" customFormat="1">
      <c r="A62" s="108">
        <f t="shared" si="7"/>
        <v>52</v>
      </c>
      <c r="B62" s="19">
        <v>6.7500000000000004E-2</v>
      </c>
      <c r="C62" s="20" t="s">
        <v>41</v>
      </c>
      <c r="D62" s="83">
        <f t="shared" si="39"/>
        <v>34268</v>
      </c>
      <c r="E62" s="84">
        <f>DATE(2023,10,26)</f>
        <v>45225</v>
      </c>
      <c r="F62" s="64">
        <f t="shared" si="33"/>
        <v>30</v>
      </c>
      <c r="G62" s="64">
        <f t="shared" si="34"/>
        <v>8.8222222222222229</v>
      </c>
      <c r="H62" s="28">
        <v>20000000</v>
      </c>
      <c r="I62" s="102">
        <v>20000000</v>
      </c>
      <c r="J62" s="105">
        <v>-152326</v>
      </c>
      <c r="K62" s="28">
        <v>0</v>
      </c>
      <c r="L62" s="28">
        <f t="shared" si="35"/>
        <v>19847674</v>
      </c>
      <c r="M62" s="65">
        <f t="shared" si="36"/>
        <v>99.238370000000003</v>
      </c>
      <c r="N62" s="68">
        <f t="shared" si="37"/>
        <v>6.8099999999999994E-2</v>
      </c>
      <c r="O62" s="79">
        <f t="shared" si="38"/>
        <v>1361999.9999999998</v>
      </c>
      <c r="P62" s="109">
        <f t="shared" si="6"/>
        <v>52</v>
      </c>
    </row>
    <row r="63" spans="1:16" s="25" customFormat="1">
      <c r="A63" s="108">
        <f t="shared" si="7"/>
        <v>53</v>
      </c>
      <c r="B63" s="69">
        <f>SUMPRODUCT(B53:B62,I53:I62)/I63</f>
        <v>7.0444285714285709E-2</v>
      </c>
      <c r="C63" s="21" t="s">
        <v>72</v>
      </c>
      <c r="D63" s="24"/>
      <c r="E63" s="24"/>
      <c r="F63" s="70">
        <f>SUMPRODUCT(F53:F62,I53:I62)/I63</f>
        <v>29.999246031746033</v>
      </c>
      <c r="G63" s="70">
        <f>SUMPRODUCT(G53:G62,I53:I62)/I63</f>
        <v>8.6805952380952398</v>
      </c>
      <c r="H63" s="20"/>
      <c r="I63" s="81">
        <f>SUM(I53:I62)</f>
        <v>140000000</v>
      </c>
      <c r="J63" s="81">
        <f>SUM(J53:J62)</f>
        <v>-1193670</v>
      </c>
      <c r="K63" s="81">
        <f>SUM(K53:K62)</f>
        <v>-2874982.9</v>
      </c>
      <c r="L63" s="81">
        <f>SUM(L53:L62)</f>
        <v>135931347.09999999</v>
      </c>
      <c r="M63" s="20"/>
      <c r="N63" s="71">
        <f>O63/I63</f>
        <v>7.2914428571428574E-2</v>
      </c>
      <c r="O63" s="82">
        <f>SUM(O53:O62)</f>
        <v>10208020</v>
      </c>
      <c r="P63" s="109">
        <f t="shared" si="6"/>
        <v>53</v>
      </c>
    </row>
    <row r="64" spans="1:16" s="25" customFormat="1">
      <c r="A64" s="108">
        <f t="shared" si="7"/>
        <v>54</v>
      </c>
      <c r="B64" s="23"/>
      <c r="C64" s="20"/>
      <c r="D64" s="24"/>
      <c r="E64" s="24"/>
      <c r="F64" s="64"/>
      <c r="G64" s="64"/>
      <c r="H64" s="20"/>
      <c r="I64" s="20"/>
      <c r="J64" s="72"/>
      <c r="K64" s="20"/>
      <c r="L64" s="14"/>
      <c r="M64" s="68"/>
      <c r="N64" s="68"/>
      <c r="O64" s="79"/>
      <c r="P64" s="109">
        <f t="shared" si="6"/>
        <v>54</v>
      </c>
    </row>
    <row r="65" spans="1:16" s="25" customFormat="1">
      <c r="A65" s="108">
        <f t="shared" si="7"/>
        <v>55</v>
      </c>
      <c r="B65" s="19">
        <v>6.7100000000000007E-2</v>
      </c>
      <c r="C65" s="20" t="s">
        <v>42</v>
      </c>
      <c r="D65" s="24">
        <f>DATE(1996,1,23)</f>
        <v>35087</v>
      </c>
      <c r="E65" s="84">
        <f>DATE(2026,1,15)</f>
        <v>46037</v>
      </c>
      <c r="F65" s="64">
        <f>YEARFRAC(D65,E65)</f>
        <v>29.977777777777778</v>
      </c>
      <c r="G65" s="64">
        <f>YEARFRAC($A$4,E65)</f>
        <v>11.041666666666666</v>
      </c>
      <c r="H65" s="28">
        <v>100000000</v>
      </c>
      <c r="I65" s="102">
        <v>100000000</v>
      </c>
      <c r="J65" s="105">
        <f>(I65*-0.00875)-1238.49-2843.43-5000-1895.25-10252.38-2112.63-6124.41</f>
        <v>-904466.5900000002</v>
      </c>
      <c r="K65" s="28">
        <v>0</v>
      </c>
      <c r="L65" s="28">
        <f>SUM(I65:K65)</f>
        <v>99095533.409999996</v>
      </c>
      <c r="M65" s="65">
        <f>L65/I65*100</f>
        <v>99.095533409999987</v>
      </c>
      <c r="N65" s="68">
        <f>ROUND(YIELD(D65,E65,B65,M65,100,2,0),5)</f>
        <v>6.7809999999999995E-2</v>
      </c>
      <c r="O65" s="28">
        <f>ROUND(N65,5)*I65</f>
        <v>6780999.9999999991</v>
      </c>
      <c r="P65" s="109">
        <f t="shared" ref="P65:P102" si="40">A65</f>
        <v>55</v>
      </c>
    </row>
    <row r="66" spans="1:16" s="25" customFormat="1">
      <c r="A66" s="108">
        <f t="shared" ref="A66:A100" si="41">A65+1</f>
        <v>56</v>
      </c>
      <c r="B66" s="69">
        <f>SUMPRODUCT(B65:B65,I65:I65)/I66</f>
        <v>6.7100000000000007E-2</v>
      </c>
      <c r="C66" s="21" t="s">
        <v>73</v>
      </c>
      <c r="D66" s="24"/>
      <c r="E66" s="24"/>
      <c r="F66" s="70">
        <f>SUMPRODUCT(F65:F65,I65:I65)/I66</f>
        <v>29.977777777777778</v>
      </c>
      <c r="G66" s="70">
        <f>SUMPRODUCT(G65:G65,I65:I65)/I66</f>
        <v>11.041666666666664</v>
      </c>
      <c r="H66" s="20"/>
      <c r="I66" s="21">
        <f>SUM(I65:I65)</f>
        <v>100000000</v>
      </c>
      <c r="J66" s="104">
        <f>SUM(J65:J65)</f>
        <v>-904466.5900000002</v>
      </c>
      <c r="K66" s="21">
        <f>SUM(K65:K65)</f>
        <v>0</v>
      </c>
      <c r="L66" s="21">
        <f>SUM(L65:L65)</f>
        <v>99095533.409999996</v>
      </c>
      <c r="M66" s="68"/>
      <c r="N66" s="71">
        <f>O66/I66</f>
        <v>6.7809999999999995E-2</v>
      </c>
      <c r="O66" s="82">
        <f>SUM(O65:O65)</f>
        <v>6780999.9999999991</v>
      </c>
      <c r="P66" s="109">
        <f t="shared" si="40"/>
        <v>56</v>
      </c>
    </row>
    <row r="67" spans="1:16" s="25" customFormat="1">
      <c r="A67" s="108">
        <f t="shared" si="41"/>
        <v>57</v>
      </c>
      <c r="B67" s="23"/>
      <c r="C67" s="20"/>
      <c r="D67" s="24"/>
      <c r="E67" s="24"/>
      <c r="F67" s="64"/>
      <c r="G67" s="64"/>
      <c r="H67" s="20"/>
      <c r="I67" s="20"/>
      <c r="J67" s="72"/>
      <c r="K67" s="20"/>
      <c r="L67" s="14"/>
      <c r="M67" s="68"/>
      <c r="N67" s="68"/>
      <c r="O67" s="79"/>
      <c r="P67" s="109">
        <f t="shared" si="40"/>
        <v>57</v>
      </c>
    </row>
    <row r="68" spans="1:16" s="25" customFormat="1">
      <c r="A68" s="108">
        <f t="shared" si="41"/>
        <v>58</v>
      </c>
      <c r="B68" s="69">
        <f>(B16*I16+B34*I34+B40*I40+B51*I51+B63*I63+B66*I66)/I68</f>
        <v>5.3747496202716592E-2</v>
      </c>
      <c r="C68" s="21" t="s">
        <v>49</v>
      </c>
      <c r="D68" s="24"/>
      <c r="E68" s="24"/>
      <c r="F68" s="70">
        <f>(F34*I34+F16*I16+F40*I40+F51*I51+F63*I63+F66*I66)/I68</f>
        <v>22.503389923457949</v>
      </c>
      <c r="G68" s="70">
        <f>(G34*I34+G16*I16+G40*I40+G51*I51+G63*I63+G66*I66)/I68</f>
        <v>15.426893235072916</v>
      </c>
      <c r="H68" s="20"/>
      <c r="I68" s="21">
        <f>I16+I34+I40+I51+I63+I66</f>
        <v>6461198000</v>
      </c>
      <c r="J68" s="104">
        <f>J16+J34+J40+J51+J63+J66</f>
        <v>-66248285.600000001</v>
      </c>
      <c r="K68" s="104">
        <f>K16+K34+K40+K51+K63+K66</f>
        <v>-31219785.520000003</v>
      </c>
      <c r="L68" s="21">
        <f>L16+L34+L40+L51+L63+L66</f>
        <v>6363729928.8800001</v>
      </c>
      <c r="M68" s="68"/>
      <c r="N68" s="71">
        <f>O68/I68</f>
        <v>5.5171022926398479E-2</v>
      </c>
      <c r="O68" s="39">
        <f>O16+O34+O40+O51+O63+O66</f>
        <v>356470902.99000001</v>
      </c>
      <c r="P68" s="109">
        <f t="shared" si="40"/>
        <v>58</v>
      </c>
    </row>
    <row r="69" spans="1:16" s="25" customFormat="1">
      <c r="A69" s="108">
        <f t="shared" si="41"/>
        <v>59</v>
      </c>
      <c r="B69" s="23"/>
      <c r="C69" s="20"/>
      <c r="D69" s="24"/>
      <c r="E69" s="24"/>
      <c r="F69" s="64"/>
      <c r="G69" s="64"/>
      <c r="H69" s="20"/>
      <c r="I69" s="20"/>
      <c r="J69" s="72"/>
      <c r="K69" s="20"/>
      <c r="L69" s="14"/>
      <c r="M69" s="68"/>
      <c r="N69" s="68"/>
      <c r="O69" s="14"/>
      <c r="P69" s="109">
        <f t="shared" si="40"/>
        <v>59</v>
      </c>
    </row>
    <row r="70" spans="1:16" s="25" customFormat="1">
      <c r="A70" s="108">
        <f t="shared" si="41"/>
        <v>60</v>
      </c>
      <c r="B70" s="23"/>
      <c r="C70" s="22" t="s">
        <v>74</v>
      </c>
      <c r="D70" s="24"/>
      <c r="E70" s="24"/>
      <c r="F70" s="64"/>
      <c r="G70" s="64"/>
      <c r="H70" s="20"/>
      <c r="I70" s="20"/>
      <c r="J70" s="72"/>
      <c r="K70" s="20"/>
      <c r="L70" s="14"/>
      <c r="M70" s="68"/>
      <c r="N70" s="68"/>
      <c r="O70" s="14"/>
      <c r="P70" s="109">
        <f t="shared" si="40"/>
        <v>60</v>
      </c>
    </row>
    <row r="71" spans="1:16" s="25" customFormat="1">
      <c r="A71" s="108">
        <f t="shared" si="41"/>
        <v>61</v>
      </c>
      <c r="B71" s="66">
        <v>1.3670218717102903E-2</v>
      </c>
      <c r="C71" s="20" t="s">
        <v>44</v>
      </c>
      <c r="D71" s="27">
        <f>DATE(1991,1,17)</f>
        <v>33255</v>
      </c>
      <c r="E71" s="67">
        <f>DATE(2016,1,1)</f>
        <v>42370</v>
      </c>
      <c r="F71" s="64">
        <f t="shared" ref="F71:F79" si="42">YEARFRAC(D71,E71)</f>
        <v>24.955555555555556</v>
      </c>
      <c r="G71" s="64">
        <f t="shared" ref="G71:G79" si="43">YEARFRAC($A$4,E71)</f>
        <v>1.0027777777777778</v>
      </c>
      <c r="H71" s="28">
        <v>45000000</v>
      </c>
      <c r="I71" s="102">
        <v>45000000</v>
      </c>
      <c r="J71" s="105">
        <f>(-771836)</f>
        <v>-771836</v>
      </c>
      <c r="K71" s="105">
        <v>-2578602</v>
      </c>
      <c r="L71" s="28">
        <f t="shared" ref="L71:L79" si="44">SUM(I71:K71)</f>
        <v>41649562</v>
      </c>
      <c r="M71" s="65">
        <f t="shared" ref="M71:M79" si="45">L71/I71*100</f>
        <v>92.554582222222223</v>
      </c>
      <c r="N71" s="68">
        <f t="shared" ref="N71:N79" si="46">ROUND(YIELD(D71,E71,B71,M71,100,4,1),5)</f>
        <v>1.7350000000000001E-2</v>
      </c>
      <c r="O71" s="14">
        <f t="shared" ref="O71:O79" si="47">ROUND(N71,5)*I71</f>
        <v>780750</v>
      </c>
      <c r="P71" s="109">
        <f t="shared" si="40"/>
        <v>61</v>
      </c>
    </row>
    <row r="72" spans="1:16" s="25" customFormat="1">
      <c r="A72" s="108">
        <f t="shared" si="41"/>
        <v>62</v>
      </c>
      <c r="B72" s="66">
        <v>6.4796956521568621E-3</v>
      </c>
      <c r="C72" s="20" t="s">
        <v>82</v>
      </c>
      <c r="D72" s="27">
        <f>DATE(1986,12,29)</f>
        <v>31775</v>
      </c>
      <c r="E72" s="27">
        <f>DATE(2016,12,1)</f>
        <v>42705</v>
      </c>
      <c r="F72" s="64">
        <f t="shared" si="42"/>
        <v>29.922222222222221</v>
      </c>
      <c r="G72" s="64">
        <f t="shared" si="43"/>
        <v>1.9194444444444445</v>
      </c>
      <c r="H72" s="28">
        <v>8500000</v>
      </c>
      <c r="I72" s="102">
        <v>8500000</v>
      </c>
      <c r="J72" s="105">
        <f>(-304824)</f>
        <v>-304824</v>
      </c>
      <c r="K72" s="28">
        <v>0</v>
      </c>
      <c r="L72" s="28">
        <f t="shared" si="44"/>
        <v>8195176</v>
      </c>
      <c r="M72" s="65">
        <f t="shared" si="45"/>
        <v>96.413835294117646</v>
      </c>
      <c r="N72" s="68">
        <f t="shared" si="46"/>
        <v>7.8300000000000002E-3</v>
      </c>
      <c r="O72" s="14">
        <f t="shared" si="47"/>
        <v>66555</v>
      </c>
      <c r="P72" s="109">
        <f t="shared" si="40"/>
        <v>62</v>
      </c>
    </row>
    <row r="73" spans="1:16" s="25" customFormat="1">
      <c r="A73" s="108">
        <f t="shared" si="41"/>
        <v>63</v>
      </c>
      <c r="B73" s="66">
        <v>1.7871330919244397E-2</v>
      </c>
      <c r="C73" s="20" t="s">
        <v>76</v>
      </c>
      <c r="D73" s="27">
        <f>DATE(1994,11,17)</f>
        <v>34655</v>
      </c>
      <c r="E73" s="27">
        <f>DATE(2024,11,1)</f>
        <v>45597</v>
      </c>
      <c r="F73" s="64">
        <f t="shared" si="42"/>
        <v>29.955555555555556</v>
      </c>
      <c r="G73" s="64">
        <f t="shared" si="43"/>
        <v>9.8361111111111104</v>
      </c>
      <c r="H73" s="28">
        <v>9365000</v>
      </c>
      <c r="I73" s="102">
        <v>9365000</v>
      </c>
      <c r="J73" s="105">
        <f>-182883-106.89-10.85-36.97-23182.89-7.09+527.73-555.55-263.72-0.15</f>
        <v>-206519.38</v>
      </c>
      <c r="K73" s="105">
        <f>(-66582)+8008</f>
        <v>-58574</v>
      </c>
      <c r="L73" s="28">
        <f t="shared" si="44"/>
        <v>9099906.6199999992</v>
      </c>
      <c r="M73" s="65">
        <f t="shared" si="45"/>
        <v>97.169317885744789</v>
      </c>
      <c r="N73" s="68">
        <f t="shared" si="46"/>
        <v>1.9109999999999999E-2</v>
      </c>
      <c r="O73" s="14">
        <f t="shared" si="47"/>
        <v>178965.15</v>
      </c>
      <c r="P73" s="109">
        <f t="shared" si="40"/>
        <v>63</v>
      </c>
    </row>
    <row r="74" spans="1:16" s="25" customFormat="1">
      <c r="A74" s="108">
        <f t="shared" si="41"/>
        <v>64</v>
      </c>
      <c r="B74" s="66">
        <v>1.787534354388803E-2</v>
      </c>
      <c r="C74" s="20" t="s">
        <v>77</v>
      </c>
      <c r="D74" s="27">
        <f>DATE(1994,11,17)</f>
        <v>34655</v>
      </c>
      <c r="E74" s="27">
        <f>DATE(2024,11,1)</f>
        <v>45597</v>
      </c>
      <c r="F74" s="64">
        <f t="shared" si="42"/>
        <v>29.955555555555556</v>
      </c>
      <c r="G74" s="64">
        <f t="shared" si="43"/>
        <v>9.8361111111111104</v>
      </c>
      <c r="H74" s="28">
        <v>8190000</v>
      </c>
      <c r="I74" s="102">
        <v>8190000</v>
      </c>
      <c r="J74" s="105">
        <f>-183929-93.65-9.49-32.4-20274.2-5147.2+527.73-555.55-263.72-0.15</f>
        <v>-209777.62999999998</v>
      </c>
      <c r="K74" s="105">
        <f>(-86323)</f>
        <v>-86323</v>
      </c>
      <c r="L74" s="28">
        <f t="shared" si="44"/>
        <v>7893899.3700000001</v>
      </c>
      <c r="M74" s="65">
        <f t="shared" si="45"/>
        <v>96.384607692307682</v>
      </c>
      <c r="N74" s="68">
        <f t="shared" si="46"/>
        <v>1.9470000000000001E-2</v>
      </c>
      <c r="O74" s="14">
        <f t="shared" si="47"/>
        <v>159459.30000000002</v>
      </c>
      <c r="P74" s="109">
        <f t="shared" si="40"/>
        <v>64</v>
      </c>
    </row>
    <row r="75" spans="1:16" s="25" customFormat="1">
      <c r="A75" s="108">
        <f t="shared" si="41"/>
        <v>65</v>
      </c>
      <c r="B75" s="66">
        <v>1.8059696152666269E-2</v>
      </c>
      <c r="C75" s="20" t="s">
        <v>78</v>
      </c>
      <c r="D75" s="27">
        <f>DATE(1994,11,17)</f>
        <v>34655</v>
      </c>
      <c r="E75" s="27">
        <f>DATE(2024,11,1)</f>
        <v>45597</v>
      </c>
      <c r="F75" s="64">
        <f t="shared" si="42"/>
        <v>29.955555555555556</v>
      </c>
      <c r="G75" s="64">
        <f t="shared" si="43"/>
        <v>9.8361111111111104</v>
      </c>
      <c r="H75" s="28">
        <v>121940000</v>
      </c>
      <c r="I75" s="102">
        <v>121940000</v>
      </c>
      <c r="J75" s="105">
        <f>-2969452-1956.29-141.25-481.71-301860.26-92.38+3920.28-2222.23-1959.09-1.04</f>
        <v>-3274245.9699999997</v>
      </c>
      <c r="K75" s="105">
        <f>(-1935450)+9683</f>
        <v>-1925767</v>
      </c>
      <c r="L75" s="28">
        <f t="shared" si="44"/>
        <v>116739987.03</v>
      </c>
      <c r="M75" s="65">
        <f t="shared" si="45"/>
        <v>95.735597039527647</v>
      </c>
      <c r="N75" s="68">
        <f t="shared" si="46"/>
        <v>1.9949999999999999E-2</v>
      </c>
      <c r="O75" s="14">
        <f t="shared" si="47"/>
        <v>2432703</v>
      </c>
      <c r="P75" s="109">
        <f t="shared" si="40"/>
        <v>65</v>
      </c>
    </row>
    <row r="76" spans="1:16" s="25" customFormat="1">
      <c r="A76" s="108">
        <f t="shared" si="41"/>
        <v>66</v>
      </c>
      <c r="B76" s="66">
        <v>1.9049051449405434E-2</v>
      </c>
      <c r="C76" s="20" t="s">
        <v>79</v>
      </c>
      <c r="D76" s="27">
        <f>DATE(1994,11,17)</f>
        <v>34655</v>
      </c>
      <c r="E76" s="27">
        <f>DATE(2024,11,1)</f>
        <v>45597</v>
      </c>
      <c r="F76" s="64">
        <f t="shared" si="42"/>
        <v>29.955555555555556</v>
      </c>
      <c r="G76" s="64">
        <f t="shared" si="43"/>
        <v>9.8361111111111104</v>
      </c>
      <c r="H76" s="28">
        <v>15060000</v>
      </c>
      <c r="I76" s="102">
        <v>15060000</v>
      </c>
      <c r="J76" s="105">
        <f>-375570-172.07-17.44-59.52-37280.76-9466.37+527.73-555.56-263.72-0.15</f>
        <v>-422857.86000000004</v>
      </c>
      <c r="K76" s="105">
        <f>(-92641)+11214</f>
        <v>-81427</v>
      </c>
      <c r="L76" s="28">
        <f t="shared" si="44"/>
        <v>14555715.140000001</v>
      </c>
      <c r="M76" s="65">
        <f t="shared" si="45"/>
        <v>96.651494953519261</v>
      </c>
      <c r="N76" s="68">
        <f t="shared" si="46"/>
        <v>2.0549999999999999E-2</v>
      </c>
      <c r="O76" s="14">
        <f t="shared" si="47"/>
        <v>309483</v>
      </c>
      <c r="P76" s="109">
        <f t="shared" si="40"/>
        <v>66</v>
      </c>
    </row>
    <row r="77" spans="1:16" s="25" customFormat="1">
      <c r="A77" s="108">
        <f t="shared" si="41"/>
        <v>67</v>
      </c>
      <c r="B77" s="66">
        <v>1.7874249972617905E-2</v>
      </c>
      <c r="C77" s="20" t="s">
        <v>80</v>
      </c>
      <c r="D77" s="27">
        <f>DATE(1994,11,17)</f>
        <v>34655</v>
      </c>
      <c r="E77" s="27">
        <f>DATE(2024,11,1)</f>
        <v>45597</v>
      </c>
      <c r="F77" s="64">
        <f t="shared" si="42"/>
        <v>29.955555555555556</v>
      </c>
      <c r="G77" s="64">
        <f t="shared" si="43"/>
        <v>9.8361111111111104</v>
      </c>
      <c r="H77" s="28">
        <v>21260000</v>
      </c>
      <c r="I77" s="102">
        <v>21260000</v>
      </c>
      <c r="J77" s="105">
        <f>-412545-242.74-24.63-31480.09-52628.74-13360.33+18.88+678.51-555.55-339.07-0.18</f>
        <v>-510478.94</v>
      </c>
      <c r="K77" s="105">
        <f>(-88352)</f>
        <v>-88352</v>
      </c>
      <c r="L77" s="28">
        <f t="shared" si="44"/>
        <v>20661169.059999999</v>
      </c>
      <c r="M77" s="65">
        <f t="shared" si="45"/>
        <v>97.183297554092178</v>
      </c>
      <c r="N77" s="68">
        <f t="shared" si="46"/>
        <v>1.9109999999999999E-2</v>
      </c>
      <c r="O77" s="14">
        <f t="shared" si="47"/>
        <v>406278.6</v>
      </c>
      <c r="P77" s="109">
        <f t="shared" si="40"/>
        <v>67</v>
      </c>
    </row>
    <row r="78" spans="1:16" s="25" customFormat="1">
      <c r="A78" s="108">
        <f t="shared" si="41"/>
        <v>68</v>
      </c>
      <c r="B78" s="66">
        <v>5.5149270838993703E-3</v>
      </c>
      <c r="C78" s="20" t="s">
        <v>83</v>
      </c>
      <c r="D78" s="27">
        <f>DATE(1995,11,17)</f>
        <v>35020</v>
      </c>
      <c r="E78" s="27">
        <f>DATE(2025,11,1)</f>
        <v>45962</v>
      </c>
      <c r="F78" s="64">
        <f t="shared" si="42"/>
        <v>29.955555555555556</v>
      </c>
      <c r="G78" s="64">
        <f t="shared" si="43"/>
        <v>10.83611111111111</v>
      </c>
      <c r="H78" s="28">
        <v>5300000</v>
      </c>
      <c r="I78" s="102">
        <f>5300000</f>
        <v>5300000</v>
      </c>
      <c r="J78" s="105">
        <f>-4020.01-32463.14-26670.88-14633.18-53933.24-322.71</f>
        <v>-132043.15999999997</v>
      </c>
      <c r="K78" s="28">
        <v>0</v>
      </c>
      <c r="L78" s="28">
        <f t="shared" si="44"/>
        <v>5167956.84</v>
      </c>
      <c r="M78" s="65">
        <f t="shared" si="45"/>
        <v>97.508619622641504</v>
      </c>
      <c r="N78" s="68">
        <f t="shared" si="46"/>
        <v>6.43E-3</v>
      </c>
      <c r="O78" s="14">
        <f t="shared" si="47"/>
        <v>34079</v>
      </c>
      <c r="P78" s="109">
        <f t="shared" si="40"/>
        <v>68</v>
      </c>
    </row>
    <row r="79" spans="1:16" s="25" customFormat="1">
      <c r="A79" s="108">
        <f t="shared" si="41"/>
        <v>69</v>
      </c>
      <c r="B79" s="66">
        <v>6.4642231387878777E-3</v>
      </c>
      <c r="C79" s="20" t="s">
        <v>84</v>
      </c>
      <c r="D79" s="27">
        <f>DATE(1995,11,17)</f>
        <v>35020</v>
      </c>
      <c r="E79" s="27">
        <f>DATE(2025,11,1)</f>
        <v>45962</v>
      </c>
      <c r="F79" s="64">
        <f t="shared" si="42"/>
        <v>29.955555555555556</v>
      </c>
      <c r="G79" s="64">
        <f t="shared" si="43"/>
        <v>10.83611111111111</v>
      </c>
      <c r="H79" s="28">
        <v>22000000</v>
      </c>
      <c r="I79" s="102">
        <f>22000000</f>
        <v>22000000</v>
      </c>
      <c r="J79" s="105">
        <f>-9071.1-129640.11-189217.86-14682.77-4950-56377.22-322.71</f>
        <v>-404261.76999999996</v>
      </c>
      <c r="K79" s="28">
        <v>0</v>
      </c>
      <c r="L79" s="28">
        <f t="shared" si="44"/>
        <v>21595738.23</v>
      </c>
      <c r="M79" s="65">
        <f t="shared" si="45"/>
        <v>98.162446500000001</v>
      </c>
      <c r="N79" s="68">
        <f t="shared" si="46"/>
        <v>7.1500000000000001E-3</v>
      </c>
      <c r="O79" s="14">
        <f t="shared" si="47"/>
        <v>157300</v>
      </c>
      <c r="P79" s="109">
        <f t="shared" si="40"/>
        <v>69</v>
      </c>
    </row>
    <row r="80" spans="1:16" s="25" customFormat="1">
      <c r="A80" s="108">
        <f t="shared" si="41"/>
        <v>70</v>
      </c>
      <c r="B80" s="69">
        <f>SUMPRODUCT(B71:B79,I71:I79)/I80</f>
        <v>1.56831361132286E-2</v>
      </c>
      <c r="C80" s="21" t="s">
        <v>98</v>
      </c>
      <c r="D80" s="24"/>
      <c r="E80" s="24"/>
      <c r="F80" s="70">
        <f>SUMPRODUCT(F71:F79,I71:I79)/I80</f>
        <v>29.077651561894498</v>
      </c>
      <c r="G80" s="70">
        <f>SUMPRODUCT(G71:G79,I71:I79)/I80</f>
        <v>8.1312549387647284</v>
      </c>
      <c r="H80" s="20"/>
      <c r="I80" s="21">
        <f>SUM(I71:I79)</f>
        <v>256615000</v>
      </c>
      <c r="J80" s="104">
        <f>SUM(J71:J79)</f>
        <v>-6236844.71</v>
      </c>
      <c r="K80" s="104">
        <f>SUM(K71:K79)</f>
        <v>-4819045</v>
      </c>
      <c r="L80" s="21">
        <f>SUM(L71:L79)</f>
        <v>245559110.28999996</v>
      </c>
      <c r="M80" s="68"/>
      <c r="N80" s="71">
        <f>O80/I80</f>
        <v>1.7635652826218266E-2</v>
      </c>
      <c r="O80" s="21">
        <f>SUM(O71:O79)</f>
        <v>4525573.05</v>
      </c>
      <c r="P80" s="109">
        <f t="shared" si="40"/>
        <v>70</v>
      </c>
    </row>
    <row r="81" spans="1:20" s="25" customFormat="1">
      <c r="A81" s="108">
        <f t="shared" si="41"/>
        <v>71</v>
      </c>
      <c r="B81" s="23"/>
      <c r="C81" s="20"/>
      <c r="D81" s="24"/>
      <c r="E81" s="24"/>
      <c r="F81" s="64"/>
      <c r="G81" s="64"/>
      <c r="H81" s="20"/>
      <c r="I81" s="20"/>
      <c r="J81" s="72"/>
      <c r="K81" s="20"/>
      <c r="L81" s="14"/>
      <c r="M81" s="68"/>
      <c r="N81" s="68"/>
      <c r="O81" s="14"/>
      <c r="P81" s="109">
        <f t="shared" si="40"/>
        <v>71</v>
      </c>
    </row>
    <row r="82" spans="1:20" s="25" customFormat="1">
      <c r="A82" s="108">
        <f t="shared" si="41"/>
        <v>72</v>
      </c>
      <c r="B82" s="66">
        <v>1.1448392769281956E-2</v>
      </c>
      <c r="C82" s="73" t="s">
        <v>43</v>
      </c>
      <c r="D82" s="27">
        <f>DATE(1990,7,25)</f>
        <v>33079</v>
      </c>
      <c r="E82" s="67">
        <f>DATE(2015,7,1)</f>
        <v>42186</v>
      </c>
      <c r="F82" s="64">
        <f t="shared" ref="F82:F90" si="48">YEARFRAC(D82,E82)</f>
        <v>24.933333333333334</v>
      </c>
      <c r="G82" s="64">
        <f t="shared" ref="G82:G90" si="49">YEARFRAC($A$4,E82)</f>
        <v>0.50277777777777777</v>
      </c>
      <c r="H82" s="28">
        <v>70000000</v>
      </c>
      <c r="I82" s="102">
        <v>70000000</v>
      </c>
      <c r="J82" s="105">
        <f>(-660750)</f>
        <v>-660750</v>
      </c>
      <c r="K82" s="105">
        <f>(-795122)</f>
        <v>-795122</v>
      </c>
      <c r="L82" s="28">
        <f t="shared" ref="L82:L90" si="50">SUM(I82:K82)</f>
        <v>68544128</v>
      </c>
      <c r="M82" s="65">
        <f t="shared" ref="M82:M90" si="51">L82/I82*100</f>
        <v>97.920182857142862</v>
      </c>
      <c r="N82" s="68">
        <f t="shared" ref="N82:N90" si="52">ROUND(YIELD(D82,E82,B82,M82,100,4,1),5)</f>
        <v>1.242E-2</v>
      </c>
      <c r="O82" s="14">
        <f t="shared" ref="O82:O90" si="53">ROUND(N82,5)*I82</f>
        <v>869400</v>
      </c>
      <c r="P82" s="109">
        <f t="shared" si="40"/>
        <v>72</v>
      </c>
    </row>
    <row r="83" spans="1:20" s="25" customFormat="1">
      <c r="A83" s="108">
        <f t="shared" si="41"/>
        <v>73</v>
      </c>
      <c r="B83" s="66">
        <v>1.7381577767368813E-2</v>
      </c>
      <c r="C83" s="73" t="s">
        <v>54</v>
      </c>
      <c r="D83" s="27">
        <f>DATE(1991,5,23)</f>
        <v>33381</v>
      </c>
      <c r="E83" s="27">
        <f>DATE(2015,7,1)</f>
        <v>42186</v>
      </c>
      <c r="F83" s="64">
        <f t="shared" si="48"/>
        <v>24.105555555555554</v>
      </c>
      <c r="G83" s="64">
        <f t="shared" si="49"/>
        <v>0.50277777777777777</v>
      </c>
      <c r="H83" s="28">
        <v>45000000</v>
      </c>
      <c r="I83" s="102">
        <v>45000000</v>
      </c>
      <c r="J83" s="105">
        <f>(-872505)</f>
        <v>-872505</v>
      </c>
      <c r="K83" s="105">
        <f>(-2568859)</f>
        <v>-2568859</v>
      </c>
      <c r="L83" s="28">
        <f t="shared" si="50"/>
        <v>41558636</v>
      </c>
      <c r="M83" s="65">
        <f t="shared" si="51"/>
        <v>92.352524444444441</v>
      </c>
      <c r="N83" s="68">
        <f t="shared" si="52"/>
        <v>2.145E-2</v>
      </c>
      <c r="O83" s="14">
        <f t="shared" si="53"/>
        <v>965250</v>
      </c>
      <c r="P83" s="109">
        <f t="shared" si="40"/>
        <v>73</v>
      </c>
    </row>
    <row r="84" spans="1:20" s="25" customFormat="1">
      <c r="A84" s="108">
        <f t="shared" si="41"/>
        <v>74</v>
      </c>
      <c r="B84" s="66">
        <v>5.6397504115151507E-3</v>
      </c>
      <c r="C84" s="73" t="s">
        <v>45</v>
      </c>
      <c r="D84" s="27">
        <f>DATE(1988,1,14)</f>
        <v>32156</v>
      </c>
      <c r="E84" s="27">
        <f>DATE(2017,1,1)</f>
        <v>42736</v>
      </c>
      <c r="F84" s="64">
        <f t="shared" si="48"/>
        <v>28.963888888888889</v>
      </c>
      <c r="G84" s="64">
        <f t="shared" si="49"/>
        <v>2.0027777777777778</v>
      </c>
      <c r="H84" s="28">
        <v>50000000</v>
      </c>
      <c r="I84" s="102">
        <v>50000000</v>
      </c>
      <c r="J84" s="105">
        <f>(-422443)</f>
        <v>-422443</v>
      </c>
      <c r="K84" s="105">
        <f>(-882101)</f>
        <v>-882101</v>
      </c>
      <c r="L84" s="28">
        <f t="shared" si="50"/>
        <v>48695456</v>
      </c>
      <c r="M84" s="65">
        <f t="shared" si="51"/>
        <v>97.390912</v>
      </c>
      <c r="N84" s="68">
        <f t="shared" si="52"/>
        <v>6.6299999999999996E-3</v>
      </c>
      <c r="O84" s="14">
        <f t="shared" si="53"/>
        <v>331500</v>
      </c>
      <c r="P84" s="109">
        <f t="shared" si="40"/>
        <v>74</v>
      </c>
    </row>
    <row r="85" spans="1:20" s="25" customFormat="1">
      <c r="A85" s="108">
        <f t="shared" si="41"/>
        <v>75</v>
      </c>
      <c r="B85" s="66">
        <v>1.7381577767368813E-2</v>
      </c>
      <c r="C85" s="73" t="s">
        <v>75</v>
      </c>
      <c r="D85" s="27">
        <f>DATE(1988,1,14)</f>
        <v>32156</v>
      </c>
      <c r="E85" s="27">
        <f>DATE(2018,1,1)</f>
        <v>43101</v>
      </c>
      <c r="F85" s="64">
        <f t="shared" si="48"/>
        <v>29.963888888888889</v>
      </c>
      <c r="G85" s="64">
        <f t="shared" si="49"/>
        <v>3.0027777777777778</v>
      </c>
      <c r="H85" s="28">
        <v>45000000</v>
      </c>
      <c r="I85" s="102">
        <v>45000000</v>
      </c>
      <c r="J85" s="105">
        <f>(-380198)</f>
        <v>-380198</v>
      </c>
      <c r="K85" s="105">
        <f>(-1013283)</f>
        <v>-1013283</v>
      </c>
      <c r="L85" s="28">
        <f t="shared" si="50"/>
        <v>43606519</v>
      </c>
      <c r="M85" s="65">
        <f t="shared" si="51"/>
        <v>96.903375555555556</v>
      </c>
      <c r="N85" s="68">
        <f t="shared" si="52"/>
        <v>1.873E-2</v>
      </c>
      <c r="O85" s="14">
        <f t="shared" si="53"/>
        <v>842850</v>
      </c>
      <c r="P85" s="109">
        <f t="shared" si="40"/>
        <v>75</v>
      </c>
    </row>
    <row r="86" spans="1:20" s="25" customFormat="1">
      <c r="A86" s="108">
        <f t="shared" si="41"/>
        <v>76</v>
      </c>
      <c r="B86" s="66">
        <v>5.5717304056310674E-3</v>
      </c>
      <c r="C86" s="73" t="s">
        <v>46</v>
      </c>
      <c r="D86" s="27">
        <f>DATE(1988,1,14)</f>
        <v>32156</v>
      </c>
      <c r="E86" s="27">
        <f>DATE(2018,1,1)</f>
        <v>43101</v>
      </c>
      <c r="F86" s="64">
        <f t="shared" si="48"/>
        <v>29.963888888888889</v>
      </c>
      <c r="G86" s="64">
        <f t="shared" si="49"/>
        <v>3.0027777777777778</v>
      </c>
      <c r="H86" s="28">
        <v>63000000</v>
      </c>
      <c r="I86" s="102">
        <v>41200000</v>
      </c>
      <c r="J86" s="105">
        <v>-351905</v>
      </c>
      <c r="K86" s="105">
        <v>-1006013</v>
      </c>
      <c r="L86" s="28">
        <f t="shared" si="50"/>
        <v>39842082</v>
      </c>
      <c r="M86" s="65">
        <f t="shared" si="51"/>
        <v>96.70408252427184</v>
      </c>
      <c r="N86" s="68">
        <f t="shared" si="52"/>
        <v>6.79E-3</v>
      </c>
      <c r="O86" s="14">
        <f t="shared" si="53"/>
        <v>279748</v>
      </c>
      <c r="P86" s="109">
        <f t="shared" si="40"/>
        <v>76</v>
      </c>
    </row>
    <row r="87" spans="1:20" s="25" customFormat="1">
      <c r="A87" s="108">
        <f t="shared" si="41"/>
        <v>77</v>
      </c>
      <c r="B87" s="66">
        <v>1.1002654794382531E-2</v>
      </c>
      <c r="C87" s="73" t="s">
        <v>96</v>
      </c>
      <c r="D87" s="27">
        <f>DATE(1992,9,29)</f>
        <v>33876</v>
      </c>
      <c r="E87" s="27">
        <f>DATE(2020,12,1)</f>
        <v>44166</v>
      </c>
      <c r="F87" s="64">
        <f t="shared" si="48"/>
        <v>28.172222222222221</v>
      </c>
      <c r="G87" s="64">
        <f t="shared" si="49"/>
        <v>5.9194444444444443</v>
      </c>
      <c r="H87" s="28">
        <v>22485000</v>
      </c>
      <c r="I87" s="102">
        <v>22485000</v>
      </c>
      <c r="J87" s="105">
        <f>-194271-10794.65-37097.95</f>
        <v>-242163.59999999998</v>
      </c>
      <c r="K87" s="105">
        <f>(-303303)</f>
        <v>-303303</v>
      </c>
      <c r="L87" s="28">
        <f t="shared" si="50"/>
        <v>21939533.399999999</v>
      </c>
      <c r="M87" s="65">
        <f t="shared" si="51"/>
        <v>97.574086724482981</v>
      </c>
      <c r="N87" s="68">
        <f t="shared" si="52"/>
        <v>1.2019999999999999E-2</v>
      </c>
      <c r="O87" s="14">
        <f t="shared" si="53"/>
        <v>270269.7</v>
      </c>
      <c r="P87" s="109">
        <f t="shared" si="40"/>
        <v>77</v>
      </c>
    </row>
    <row r="88" spans="1:20" s="25" customFormat="1">
      <c r="A88" s="108">
        <f t="shared" si="41"/>
        <v>78</v>
      </c>
      <c r="B88" s="66">
        <v>1.1002654738629492E-2</v>
      </c>
      <c r="C88" s="73" t="s">
        <v>94</v>
      </c>
      <c r="D88" s="27">
        <f>DATE(1992,9,29)</f>
        <v>33876</v>
      </c>
      <c r="E88" s="27">
        <f>DATE(2020,12,1)</f>
        <v>44166</v>
      </c>
      <c r="F88" s="64">
        <f t="shared" si="48"/>
        <v>28.172222222222221</v>
      </c>
      <c r="G88" s="64">
        <f t="shared" si="49"/>
        <v>5.9194444444444443</v>
      </c>
      <c r="H88" s="28">
        <v>9335000</v>
      </c>
      <c r="I88" s="102">
        <v>9335000</v>
      </c>
      <c r="J88" s="105">
        <f>-147642-4480.37-15401.8</f>
        <v>-167524.16999999998</v>
      </c>
      <c r="K88" s="105">
        <f>(-134094)</f>
        <v>-134094</v>
      </c>
      <c r="L88" s="28">
        <f t="shared" si="50"/>
        <v>9033381.8300000001</v>
      </c>
      <c r="M88" s="65">
        <f t="shared" si="51"/>
        <v>96.76895372254954</v>
      </c>
      <c r="N88" s="68">
        <f t="shared" si="52"/>
        <v>1.2359999999999999E-2</v>
      </c>
      <c r="O88" s="14">
        <f t="shared" si="53"/>
        <v>115380.59999999999</v>
      </c>
      <c r="P88" s="109">
        <f t="shared" si="40"/>
        <v>78</v>
      </c>
    </row>
    <row r="89" spans="1:20" s="25" customFormat="1">
      <c r="A89" s="108">
        <f t="shared" si="41"/>
        <v>79</v>
      </c>
      <c r="B89" s="66">
        <v>1.1002655905871798E-2</v>
      </c>
      <c r="C89" s="73" t="s">
        <v>95</v>
      </c>
      <c r="D89" s="27">
        <f>DATE(1992,9,29)</f>
        <v>33876</v>
      </c>
      <c r="E89" s="27">
        <f>DATE(2020,12,1)</f>
        <v>44166</v>
      </c>
      <c r="F89" s="64">
        <f t="shared" si="48"/>
        <v>28.172222222222221</v>
      </c>
      <c r="G89" s="64">
        <f t="shared" si="49"/>
        <v>5.9194444444444443</v>
      </c>
      <c r="H89" s="28">
        <v>6305000</v>
      </c>
      <c r="I89" s="102">
        <v>6305000</v>
      </c>
      <c r="J89" s="105">
        <f>-138478-3027.19-10402.61</f>
        <v>-151907.79999999999</v>
      </c>
      <c r="K89" s="105">
        <f>(-97735)</f>
        <v>-97735</v>
      </c>
      <c r="L89" s="28">
        <f t="shared" si="50"/>
        <v>6055357.2000000002</v>
      </c>
      <c r="M89" s="65">
        <f t="shared" si="51"/>
        <v>96.04055828707375</v>
      </c>
      <c r="N89" s="68">
        <f t="shared" si="52"/>
        <v>1.268E-2</v>
      </c>
      <c r="O89" s="14">
        <f t="shared" si="53"/>
        <v>79947.400000000009</v>
      </c>
      <c r="P89" s="109">
        <f t="shared" si="40"/>
        <v>79</v>
      </c>
    </row>
    <row r="90" spans="1:20" s="25" customFormat="1">
      <c r="A90" s="108">
        <f t="shared" si="41"/>
        <v>80</v>
      </c>
      <c r="B90" s="66">
        <v>1.1408035690873487E-2</v>
      </c>
      <c r="C90" s="73" t="s">
        <v>85</v>
      </c>
      <c r="D90" s="27">
        <f>DATE(1995,12,14)</f>
        <v>35047</v>
      </c>
      <c r="E90" s="27">
        <f>DATE(2025,11,1)</f>
        <v>45962</v>
      </c>
      <c r="F90" s="64">
        <f t="shared" si="48"/>
        <v>29.880555555555556</v>
      </c>
      <c r="G90" s="64">
        <f t="shared" si="49"/>
        <v>10.83611111111111</v>
      </c>
      <c r="H90" s="28">
        <v>24400000</v>
      </c>
      <c r="I90" s="103">
        <f>24400000</f>
        <v>24400000</v>
      </c>
      <c r="J90" s="105">
        <f>-19002.27-120150.79-10722.63-6607.3-58895.72-9621.24</f>
        <v>-224999.94999999998</v>
      </c>
      <c r="K90" s="105">
        <v>-428469.14</v>
      </c>
      <c r="L90" s="28">
        <f t="shared" si="50"/>
        <v>23746530.91</v>
      </c>
      <c r="M90" s="65">
        <f t="shared" si="51"/>
        <v>97.321847991803281</v>
      </c>
      <c r="N90" s="68">
        <f t="shared" si="52"/>
        <v>1.248E-2</v>
      </c>
      <c r="O90" s="14">
        <f t="shared" si="53"/>
        <v>304512</v>
      </c>
      <c r="P90" s="109">
        <f t="shared" si="40"/>
        <v>80</v>
      </c>
    </row>
    <row r="91" spans="1:20" s="25" customFormat="1">
      <c r="A91" s="108">
        <f t="shared" si="41"/>
        <v>81</v>
      </c>
      <c r="B91" s="69">
        <f>SUMPRODUCT(B82:B90,I82:I90)/I91</f>
        <v>1.1395663710515005E-2</v>
      </c>
      <c r="C91" s="21" t="s">
        <v>99</v>
      </c>
      <c r="D91" s="24"/>
      <c r="E91" s="24"/>
      <c r="F91" s="70">
        <f>SUMPRODUCT(F82:F90,I82:I90)/I91</f>
        <v>27.617552084716802</v>
      </c>
      <c r="G91" s="70">
        <f>SUMPRODUCT(G82:G90,I82:I90)/I91</f>
        <v>2.8906772119956434</v>
      </c>
      <c r="H91" s="20"/>
      <c r="I91" s="21">
        <f>SUM(I82:I90)</f>
        <v>313725000</v>
      </c>
      <c r="J91" s="104">
        <f>SUM(J82:J90)</f>
        <v>-3474396.52</v>
      </c>
      <c r="K91" s="104">
        <f>SUM(K82:K90)</f>
        <v>-7228979.1399999997</v>
      </c>
      <c r="L91" s="21">
        <f>SUM(L82:L90)</f>
        <v>303021624.34000003</v>
      </c>
      <c r="M91" s="68"/>
      <c r="N91" s="71">
        <f>O91/I91</f>
        <v>1.2937629133795522E-2</v>
      </c>
      <c r="O91" s="39">
        <f>SUM(O82:O90)</f>
        <v>4058857.7</v>
      </c>
      <c r="P91" s="109">
        <f t="shared" si="40"/>
        <v>81</v>
      </c>
    </row>
    <row r="92" spans="1:20" s="25" customFormat="1">
      <c r="A92" s="108">
        <f t="shared" si="41"/>
        <v>82</v>
      </c>
      <c r="B92" s="23"/>
      <c r="C92" s="20"/>
      <c r="D92" s="24"/>
      <c r="E92" s="24"/>
      <c r="F92" s="64"/>
      <c r="G92" s="64"/>
      <c r="H92" s="20"/>
      <c r="I92" s="12"/>
      <c r="J92" s="72"/>
      <c r="K92" s="20"/>
      <c r="L92" s="14"/>
      <c r="M92" s="68"/>
      <c r="N92" s="68"/>
      <c r="O92" s="14"/>
      <c r="P92" s="109">
        <f t="shared" si="40"/>
        <v>82</v>
      </c>
    </row>
    <row r="93" spans="1:20" s="25" customFormat="1">
      <c r="A93" s="108">
        <f t="shared" si="41"/>
        <v>83</v>
      </c>
      <c r="B93" s="69">
        <f>(B80*I80+B91*I91)/I93</f>
        <v>1.3324740630636947E-2</v>
      </c>
      <c r="C93" s="21" t="s">
        <v>81</v>
      </c>
      <c r="D93" s="24"/>
      <c r="E93" s="24"/>
      <c r="F93" s="70">
        <f>(F80*I80+F91*I91)/I93</f>
        <v>28.274499567509444</v>
      </c>
      <c r="G93" s="70">
        <f>(G80*I80+G91*I91)/I93</f>
        <v>5.2485880254662893</v>
      </c>
      <c r="H93" s="20"/>
      <c r="I93" s="21">
        <f>I80+I91</f>
        <v>570340000</v>
      </c>
      <c r="J93" s="104">
        <f>J80+J91</f>
        <v>-9711241.2300000004</v>
      </c>
      <c r="K93" s="104">
        <f>K80+K91</f>
        <v>-12048024.140000001</v>
      </c>
      <c r="L93" s="21">
        <f>L80+L91</f>
        <v>548580734.63</v>
      </c>
      <c r="M93" s="68"/>
      <c r="N93" s="71">
        <f>O93/I93</f>
        <v>1.5051426780516885E-2</v>
      </c>
      <c r="O93" s="21">
        <f>O80+O91</f>
        <v>8584430.75</v>
      </c>
      <c r="P93" s="109">
        <f t="shared" si="40"/>
        <v>83</v>
      </c>
      <c r="S93" s="85"/>
      <c r="T93" s="86"/>
    </row>
    <row r="94" spans="1:20" s="25" customFormat="1">
      <c r="A94" s="108">
        <f t="shared" si="41"/>
        <v>84</v>
      </c>
      <c r="B94" s="69"/>
      <c r="C94" s="21"/>
      <c r="D94" s="24"/>
      <c r="E94" s="24"/>
      <c r="F94" s="70"/>
      <c r="G94" s="70"/>
      <c r="H94" s="20"/>
      <c r="I94" s="21"/>
      <c r="J94" s="21"/>
      <c r="K94" s="21"/>
      <c r="L94" s="21"/>
      <c r="M94" s="68"/>
      <c r="N94" s="71"/>
      <c r="O94" s="21"/>
      <c r="P94" s="109">
        <f t="shared" si="40"/>
        <v>84</v>
      </c>
      <c r="S94" s="87"/>
    </row>
    <row r="95" spans="1:20" s="25" customFormat="1">
      <c r="A95" s="108">
        <f t="shared" si="41"/>
        <v>85</v>
      </c>
      <c r="B95" s="69"/>
      <c r="C95" s="21"/>
      <c r="D95" s="60" t="s">
        <v>113</v>
      </c>
      <c r="E95" s="60" t="s">
        <v>114</v>
      </c>
      <c r="F95" s="70"/>
      <c r="G95" s="70"/>
      <c r="H95" s="20"/>
      <c r="I95" s="21"/>
      <c r="J95" s="21"/>
      <c r="K95" s="21"/>
      <c r="L95" s="21"/>
      <c r="M95" s="68"/>
      <c r="N95" s="71"/>
      <c r="O95" s="21"/>
      <c r="P95" s="109">
        <f t="shared" si="40"/>
        <v>85</v>
      </c>
    </row>
    <row r="96" spans="1:20" s="25" customFormat="1">
      <c r="A96" s="108">
        <f t="shared" si="41"/>
        <v>86</v>
      </c>
      <c r="B96" s="69"/>
      <c r="C96" s="21"/>
      <c r="D96" s="60" t="s">
        <v>29</v>
      </c>
      <c r="E96" s="60" t="s">
        <v>29</v>
      </c>
      <c r="F96" s="70"/>
      <c r="G96" s="70"/>
      <c r="H96" s="20"/>
      <c r="I96" s="21"/>
      <c r="J96" s="21"/>
      <c r="K96" s="21"/>
      <c r="L96" s="21"/>
      <c r="M96" s="68"/>
      <c r="N96" s="71"/>
      <c r="O96" s="21"/>
      <c r="P96" s="109">
        <f t="shared" si="40"/>
        <v>86</v>
      </c>
    </row>
    <row r="97" spans="1:16" s="25" customFormat="1">
      <c r="A97" s="108">
        <f t="shared" si="41"/>
        <v>87</v>
      </c>
      <c r="B97" s="69"/>
      <c r="C97" s="61" t="s">
        <v>115</v>
      </c>
      <c r="D97" s="27">
        <f>DATE(2000,11,17)</f>
        <v>36847</v>
      </c>
      <c r="E97" s="27">
        <f>DATE(2035,6,30)</f>
        <v>49490</v>
      </c>
      <c r="F97" s="70"/>
      <c r="G97" s="70"/>
      <c r="H97" s="20"/>
      <c r="I97" s="21"/>
      <c r="J97" s="21"/>
      <c r="K97" s="21"/>
      <c r="L97" s="21"/>
      <c r="M97" s="68"/>
      <c r="N97" s="71"/>
      <c r="O97" s="14">
        <f>107887.08</f>
        <v>107887.08</v>
      </c>
      <c r="P97" s="109">
        <f t="shared" si="40"/>
        <v>87</v>
      </c>
    </row>
    <row r="98" spans="1:16" s="25" customFormat="1">
      <c r="A98" s="108">
        <f t="shared" si="41"/>
        <v>88</v>
      </c>
      <c r="B98" s="69"/>
      <c r="C98" s="61" t="s">
        <v>116</v>
      </c>
      <c r="D98" s="27">
        <f>DATE(2000,11,17)</f>
        <v>36847</v>
      </c>
      <c r="E98" s="27">
        <f>DATE(2025,12,31)</f>
        <v>46022</v>
      </c>
      <c r="F98" s="70"/>
      <c r="G98" s="70"/>
      <c r="H98" s="20"/>
      <c r="I98" s="21"/>
      <c r="J98" s="21"/>
      <c r="K98" s="21"/>
      <c r="L98" s="21"/>
      <c r="M98" s="68"/>
      <c r="N98" s="71"/>
      <c r="O98" s="14">
        <v>84083.82</v>
      </c>
      <c r="P98" s="109">
        <f t="shared" si="40"/>
        <v>88</v>
      </c>
    </row>
    <row r="99" spans="1:16" s="25" customFormat="1">
      <c r="A99" s="108">
        <f t="shared" si="41"/>
        <v>89</v>
      </c>
      <c r="B99" s="69"/>
      <c r="C99" s="46" t="s">
        <v>117</v>
      </c>
      <c r="D99" s="24"/>
      <c r="E99" s="24"/>
      <c r="F99" s="70"/>
      <c r="G99" s="70"/>
      <c r="H99" s="20"/>
      <c r="I99" s="21"/>
      <c r="J99" s="21"/>
      <c r="K99" s="21"/>
      <c r="L99" s="21"/>
      <c r="M99" s="68"/>
      <c r="N99" s="71"/>
      <c r="O99" s="21">
        <f>SUM(O97:O98)</f>
        <v>191970.90000000002</v>
      </c>
      <c r="P99" s="109">
        <f t="shared" si="40"/>
        <v>89</v>
      </c>
    </row>
    <row r="100" spans="1:16" s="25" customFormat="1">
      <c r="A100" s="108">
        <f t="shared" si="41"/>
        <v>90</v>
      </c>
      <c r="B100" s="23"/>
      <c r="C100" s="20"/>
      <c r="D100" s="24"/>
      <c r="E100" s="24"/>
      <c r="F100" s="64"/>
      <c r="G100" s="64"/>
      <c r="H100" s="20"/>
      <c r="I100" s="12"/>
      <c r="J100" s="72"/>
      <c r="K100" s="20"/>
      <c r="L100" s="14"/>
      <c r="M100" s="68"/>
      <c r="N100" s="68"/>
      <c r="O100" s="14"/>
      <c r="P100" s="109">
        <f t="shared" si="40"/>
        <v>90</v>
      </c>
    </row>
    <row r="101" spans="1:16" s="25" customFormat="1">
      <c r="A101" s="108">
        <f>A100+1</f>
        <v>91</v>
      </c>
      <c r="B101" s="88">
        <f>(B68*I68+B93*I93)/I101</f>
        <v>5.0468737784148718E-2</v>
      </c>
      <c r="C101" s="21" t="s">
        <v>86</v>
      </c>
      <c r="D101" s="24"/>
      <c r="E101" s="24"/>
      <c r="F101" s="70">
        <f>(F68*I68+F93*I93)/I101</f>
        <v>22.971494436921198</v>
      </c>
      <c r="G101" s="70">
        <f>(G68*I68+G93*I93)/I101</f>
        <v>14.601313597553068</v>
      </c>
      <c r="H101" s="20"/>
      <c r="I101" s="21">
        <f>I68+I93</f>
        <v>7031538000</v>
      </c>
      <c r="J101" s="104">
        <f>J68+J93</f>
        <v>-75959526.829999998</v>
      </c>
      <c r="K101" s="104">
        <f>K68+K93</f>
        <v>-43267809.660000004</v>
      </c>
      <c r="L101" s="21">
        <f>L68+L93</f>
        <v>6912310663.5100002</v>
      </c>
      <c r="M101" s="68"/>
      <c r="N101" s="71">
        <f>O101/I101</f>
        <v>5.1944155693960554E-2</v>
      </c>
      <c r="O101" s="81">
        <f>O68+O93+O99</f>
        <v>365247304.63999999</v>
      </c>
      <c r="P101" s="109">
        <f t="shared" si="40"/>
        <v>91</v>
      </c>
    </row>
    <row r="102" spans="1:16" s="25" customFormat="1">
      <c r="A102" s="108">
        <f>A101+1</f>
        <v>92</v>
      </c>
      <c r="B102" s="23"/>
      <c r="C102" s="20"/>
      <c r="D102" s="24"/>
      <c r="E102" s="24"/>
      <c r="F102" s="64"/>
      <c r="G102" s="64"/>
      <c r="H102" s="20"/>
      <c r="I102" s="12"/>
      <c r="J102" s="72"/>
      <c r="K102" s="20"/>
      <c r="L102" s="14"/>
      <c r="M102" s="68"/>
      <c r="N102" s="68"/>
      <c r="O102" s="14"/>
      <c r="P102" s="109">
        <f t="shared" si="40"/>
        <v>92</v>
      </c>
    </row>
    <row r="103" spans="1:16" s="25" customFormat="1">
      <c r="A103" s="89"/>
      <c r="B103" s="89"/>
      <c r="D103" s="24"/>
      <c r="E103" s="24"/>
      <c r="F103" s="64"/>
      <c r="G103" s="64"/>
      <c r="H103" s="20"/>
      <c r="I103" s="12"/>
      <c r="J103" s="72"/>
      <c r="K103" s="20"/>
      <c r="L103" s="14"/>
      <c r="M103" s="68"/>
      <c r="N103" s="68"/>
      <c r="O103" s="14"/>
    </row>
    <row r="104" spans="1:16" s="25" customFormat="1">
      <c r="A104" s="89"/>
      <c r="B104" s="89"/>
      <c r="D104" s="24"/>
      <c r="E104" s="24"/>
      <c r="F104" s="64"/>
      <c r="G104" s="64"/>
      <c r="H104" s="20"/>
      <c r="I104" s="12"/>
      <c r="J104" s="72"/>
      <c r="K104" s="20"/>
      <c r="L104" s="14"/>
      <c r="M104" s="68"/>
      <c r="N104" s="68"/>
      <c r="O104" s="14"/>
    </row>
    <row r="105" spans="1:16" s="25" customFormat="1">
      <c r="A105" s="89"/>
      <c r="B105" s="89"/>
      <c r="D105" s="24"/>
      <c r="E105" s="24"/>
      <c r="F105" s="64"/>
      <c r="G105" s="64"/>
      <c r="H105" s="20"/>
      <c r="I105" s="12"/>
      <c r="J105" s="72"/>
      <c r="K105" s="20"/>
      <c r="L105" s="14"/>
      <c r="M105" s="68"/>
      <c r="N105" s="68"/>
      <c r="O105" s="14"/>
    </row>
    <row r="106" spans="1:16" s="25" customFormat="1">
      <c r="A106" s="89"/>
      <c r="B106" s="89"/>
      <c r="D106" s="24"/>
      <c r="E106" s="24"/>
      <c r="F106" s="64"/>
      <c r="G106" s="64"/>
      <c r="H106" s="20"/>
      <c r="I106" s="12"/>
      <c r="J106" s="72"/>
      <c r="K106" s="20"/>
      <c r="L106" s="14"/>
      <c r="M106" s="68"/>
      <c r="N106" s="68"/>
      <c r="O106" s="14"/>
    </row>
    <row r="107" spans="1:16" s="25" customFormat="1">
      <c r="A107" s="89"/>
      <c r="B107" s="89"/>
      <c r="D107" s="24"/>
      <c r="E107" s="24"/>
      <c r="F107" s="64"/>
      <c r="G107" s="64"/>
      <c r="H107" s="20"/>
      <c r="I107" s="12"/>
      <c r="J107" s="72"/>
      <c r="K107" s="20"/>
      <c r="L107" s="14"/>
      <c r="M107" s="68"/>
      <c r="N107" s="68"/>
      <c r="O107" s="14"/>
    </row>
    <row r="108" spans="1:16" s="25" customFormat="1">
      <c r="A108" s="89"/>
      <c r="B108" s="89"/>
      <c r="D108" s="24"/>
      <c r="E108" s="24"/>
      <c r="F108" s="64"/>
      <c r="G108" s="64"/>
      <c r="H108" s="20"/>
      <c r="I108" s="12"/>
      <c r="J108" s="72"/>
      <c r="K108" s="20"/>
      <c r="L108" s="14"/>
      <c r="M108" s="68"/>
      <c r="N108" s="68"/>
      <c r="O108" s="14"/>
    </row>
    <row r="109" spans="1:16" s="25" customFormat="1">
      <c r="A109" s="89"/>
      <c r="B109" s="89"/>
      <c r="D109" s="24"/>
      <c r="E109" s="24"/>
      <c r="F109" s="64"/>
      <c r="G109" s="64"/>
      <c r="H109" s="20"/>
      <c r="I109" s="12"/>
      <c r="J109" s="72"/>
      <c r="K109" s="20"/>
      <c r="L109" s="14"/>
      <c r="M109" s="68"/>
      <c r="N109" s="68"/>
      <c r="O109" s="14"/>
    </row>
    <row r="110" spans="1:16" s="25" customFormat="1">
      <c r="A110" s="89"/>
      <c r="B110" s="89"/>
      <c r="D110" s="24"/>
      <c r="E110" s="24"/>
      <c r="F110" s="64"/>
      <c r="G110" s="64"/>
      <c r="H110" s="20"/>
      <c r="I110" s="12"/>
      <c r="J110" s="72"/>
      <c r="K110" s="20"/>
      <c r="L110" s="14"/>
      <c r="M110" s="68"/>
      <c r="N110" s="68"/>
      <c r="O110" s="14"/>
    </row>
    <row r="111" spans="1:16" s="25" customFormat="1">
      <c r="A111" s="89"/>
      <c r="B111" s="89"/>
      <c r="D111" s="24"/>
      <c r="E111" s="24"/>
      <c r="F111" s="64"/>
      <c r="G111" s="64"/>
      <c r="H111" s="20"/>
      <c r="I111" s="12"/>
      <c r="J111" s="72"/>
      <c r="K111" s="20"/>
      <c r="L111" s="14"/>
      <c r="M111" s="68"/>
      <c r="N111" s="68"/>
      <c r="O111" s="14"/>
    </row>
    <row r="112" spans="1:16" s="25" customFormat="1">
      <c r="A112" s="89"/>
      <c r="B112" s="89"/>
      <c r="D112" s="24"/>
      <c r="E112" s="24"/>
      <c r="F112" s="64"/>
      <c r="G112" s="64"/>
      <c r="H112" s="20"/>
      <c r="I112" s="12"/>
      <c r="J112" s="72"/>
      <c r="K112" s="20"/>
      <c r="L112" s="14"/>
      <c r="M112" s="68"/>
      <c r="N112" s="68"/>
      <c r="O112" s="14"/>
    </row>
    <row r="113" spans="1:15" s="25" customFormat="1">
      <c r="A113" s="89"/>
      <c r="B113" s="89"/>
      <c r="D113" s="24"/>
      <c r="E113" s="24"/>
      <c r="F113" s="64"/>
      <c r="G113" s="64"/>
      <c r="H113" s="20"/>
      <c r="I113" s="12"/>
      <c r="J113" s="72"/>
      <c r="K113" s="20"/>
      <c r="L113" s="14"/>
      <c r="M113" s="68"/>
      <c r="N113" s="68"/>
      <c r="O113" s="14"/>
    </row>
    <row r="114" spans="1:15" s="25" customFormat="1">
      <c r="A114" s="89"/>
      <c r="B114" s="89"/>
      <c r="D114" s="24"/>
      <c r="E114" s="24"/>
      <c r="F114" s="64"/>
      <c r="G114" s="64"/>
      <c r="H114" s="20"/>
      <c r="I114" s="12"/>
      <c r="J114" s="72"/>
      <c r="K114" s="20"/>
      <c r="L114" s="14"/>
      <c r="M114" s="68"/>
      <c r="N114" s="68"/>
      <c r="O114" s="14"/>
    </row>
    <row r="115" spans="1:15" s="25" customFormat="1">
      <c r="D115" s="24"/>
      <c r="E115" s="24"/>
      <c r="F115" s="64"/>
      <c r="G115" s="64"/>
      <c r="H115" s="20"/>
      <c r="I115" s="12"/>
      <c r="J115" s="72"/>
      <c r="K115" s="20"/>
      <c r="L115" s="14"/>
      <c r="M115" s="68"/>
      <c r="N115" s="68"/>
      <c r="O115" s="14"/>
    </row>
    <row r="116" spans="1:15" s="25" customFormat="1">
      <c r="D116" s="24"/>
      <c r="E116" s="24"/>
      <c r="F116" s="64"/>
      <c r="G116" s="64"/>
      <c r="H116" s="20"/>
      <c r="I116" s="12"/>
      <c r="J116" s="72"/>
      <c r="K116" s="20"/>
      <c r="L116" s="14"/>
      <c r="M116" s="68"/>
      <c r="N116" s="68"/>
      <c r="O116" s="14"/>
    </row>
    <row r="117" spans="1:15" s="25" customFormat="1">
      <c r="D117" s="24"/>
      <c r="E117" s="24"/>
      <c r="F117" s="64"/>
      <c r="G117" s="64"/>
      <c r="H117" s="20"/>
      <c r="I117" s="12"/>
      <c r="J117" s="72"/>
      <c r="K117" s="20"/>
      <c r="L117" s="14"/>
      <c r="M117" s="68"/>
      <c r="N117" s="68"/>
      <c r="O117" s="14"/>
    </row>
    <row r="118" spans="1:15" s="25" customFormat="1">
      <c r="D118" s="24"/>
      <c r="E118" s="24"/>
      <c r="F118" s="64"/>
      <c r="G118" s="64"/>
      <c r="H118" s="20"/>
      <c r="I118" s="12"/>
      <c r="J118" s="72"/>
      <c r="K118" s="20"/>
      <c r="L118" s="14"/>
      <c r="M118" s="68"/>
      <c r="N118" s="68"/>
      <c r="O118" s="14"/>
    </row>
    <row r="119" spans="1:15" s="25" customFormat="1">
      <c r="D119" s="24"/>
      <c r="E119" s="24"/>
      <c r="F119" s="64"/>
      <c r="G119" s="64"/>
      <c r="H119" s="20"/>
      <c r="I119" s="12"/>
      <c r="J119" s="72"/>
      <c r="K119" s="20"/>
      <c r="L119" s="14"/>
      <c r="M119" s="68"/>
      <c r="N119" s="68"/>
      <c r="O119" s="14"/>
    </row>
    <row r="120" spans="1:15" s="25" customFormat="1">
      <c r="D120" s="24"/>
      <c r="E120" s="24"/>
      <c r="F120" s="64"/>
      <c r="G120" s="64"/>
      <c r="H120" s="20"/>
      <c r="I120" s="12"/>
      <c r="J120" s="72"/>
      <c r="K120" s="20"/>
      <c r="L120" s="14"/>
      <c r="M120" s="68"/>
      <c r="N120" s="68"/>
      <c r="O120" s="14"/>
    </row>
    <row r="121" spans="1:15" s="25" customFormat="1">
      <c r="D121" s="24"/>
      <c r="E121" s="24"/>
      <c r="F121" s="64"/>
      <c r="G121" s="64"/>
      <c r="H121" s="20"/>
      <c r="I121" s="12"/>
      <c r="J121" s="72"/>
      <c r="K121" s="20"/>
      <c r="L121" s="14"/>
      <c r="M121" s="68"/>
      <c r="N121" s="68"/>
      <c r="O121" s="14"/>
    </row>
    <row r="122" spans="1:15" s="25" customFormat="1">
      <c r="D122" s="24"/>
      <c r="E122" s="24"/>
      <c r="F122" s="64"/>
      <c r="G122" s="64"/>
      <c r="H122" s="20"/>
      <c r="I122" s="12"/>
      <c r="J122" s="72"/>
      <c r="K122" s="20"/>
      <c r="L122" s="14"/>
      <c r="M122" s="68"/>
      <c r="N122" s="68"/>
      <c r="O122" s="14"/>
    </row>
    <row r="123" spans="1:15" s="25" customFormat="1">
      <c r="D123" s="24"/>
      <c r="E123" s="24"/>
      <c r="F123" s="64"/>
      <c r="G123" s="64"/>
      <c r="H123" s="20"/>
      <c r="I123" s="12"/>
      <c r="J123" s="72"/>
      <c r="K123" s="20"/>
      <c r="L123" s="14"/>
      <c r="M123" s="68"/>
      <c r="N123" s="68"/>
      <c r="O123" s="14"/>
    </row>
    <row r="124" spans="1:15" s="25" customFormat="1">
      <c r="D124" s="24"/>
      <c r="E124" s="24"/>
      <c r="F124" s="64"/>
      <c r="G124" s="64"/>
      <c r="H124" s="20"/>
      <c r="I124" s="12"/>
      <c r="J124" s="72"/>
      <c r="K124" s="20"/>
      <c r="L124" s="14"/>
      <c r="M124" s="68"/>
      <c r="N124" s="68"/>
      <c r="O124" s="14"/>
    </row>
    <row r="125" spans="1:15" s="25" customFormat="1">
      <c r="D125" s="24"/>
      <c r="E125" s="24"/>
      <c r="F125" s="64"/>
      <c r="G125" s="64"/>
      <c r="H125" s="20"/>
      <c r="I125" s="12"/>
      <c r="J125" s="72"/>
      <c r="K125" s="20"/>
      <c r="L125" s="14"/>
      <c r="M125" s="68"/>
      <c r="N125" s="68"/>
      <c r="O125" s="14"/>
    </row>
    <row r="126" spans="1:15" s="25" customFormat="1">
      <c r="D126" s="24"/>
      <c r="E126" s="24"/>
      <c r="F126" s="64"/>
      <c r="G126" s="64"/>
      <c r="H126" s="20"/>
      <c r="I126" s="12"/>
      <c r="J126" s="72"/>
      <c r="K126" s="20"/>
      <c r="L126" s="14"/>
      <c r="M126" s="68"/>
      <c r="N126" s="68"/>
      <c r="O126" s="14"/>
    </row>
    <row r="127" spans="1:15" s="25" customFormat="1">
      <c r="D127" s="24"/>
      <c r="E127" s="24"/>
      <c r="F127" s="64"/>
      <c r="G127" s="64"/>
      <c r="H127" s="20"/>
      <c r="I127" s="12"/>
      <c r="J127" s="72"/>
      <c r="K127" s="20"/>
      <c r="L127" s="14"/>
      <c r="M127" s="68"/>
      <c r="N127" s="68"/>
      <c r="O127" s="14"/>
    </row>
    <row r="128" spans="1:15" s="25" customFormat="1">
      <c r="D128" s="24"/>
      <c r="E128" s="24"/>
      <c r="F128" s="64"/>
      <c r="G128" s="64"/>
      <c r="H128" s="20"/>
      <c r="I128" s="12"/>
      <c r="J128" s="72"/>
      <c r="K128" s="20"/>
      <c r="L128" s="14"/>
      <c r="M128" s="68"/>
      <c r="N128" s="68"/>
      <c r="O128" s="14"/>
    </row>
    <row r="129" spans="4:15" s="25" customFormat="1">
      <c r="D129" s="24"/>
      <c r="E129" s="24"/>
      <c r="F129" s="64"/>
      <c r="G129" s="64"/>
      <c r="H129" s="20"/>
      <c r="I129" s="12"/>
      <c r="J129" s="72"/>
      <c r="K129" s="20"/>
      <c r="L129" s="14"/>
      <c r="M129" s="68"/>
      <c r="N129" s="68"/>
      <c r="O129" s="14"/>
    </row>
    <row r="130" spans="4:15" s="25" customFormat="1">
      <c r="D130" s="24"/>
      <c r="E130" s="24"/>
      <c r="F130" s="64"/>
      <c r="G130" s="64"/>
      <c r="H130" s="20"/>
      <c r="I130" s="12"/>
      <c r="J130" s="72"/>
      <c r="K130" s="20"/>
      <c r="L130" s="14"/>
      <c r="M130" s="68"/>
      <c r="N130" s="68"/>
      <c r="O130" s="14"/>
    </row>
    <row r="131" spans="4:15" s="25" customFormat="1">
      <c r="D131" s="24"/>
      <c r="E131" s="24"/>
      <c r="F131" s="64"/>
      <c r="G131" s="64"/>
      <c r="H131" s="20"/>
      <c r="I131" s="12"/>
      <c r="J131" s="72"/>
      <c r="K131" s="20"/>
      <c r="L131" s="14"/>
      <c r="M131" s="68"/>
      <c r="N131" s="68"/>
      <c r="O131" s="14"/>
    </row>
    <row r="132" spans="4:15" s="25" customFormat="1">
      <c r="D132" s="24"/>
      <c r="E132" s="24"/>
      <c r="F132" s="64"/>
      <c r="G132" s="64"/>
      <c r="H132" s="20"/>
      <c r="I132" s="12"/>
      <c r="J132" s="72"/>
      <c r="K132" s="20"/>
      <c r="L132" s="14"/>
      <c r="M132" s="68"/>
      <c r="N132" s="68"/>
      <c r="O132" s="14"/>
    </row>
    <row r="133" spans="4:15" s="25" customFormat="1">
      <c r="D133" s="24"/>
      <c r="E133" s="24"/>
      <c r="F133" s="64"/>
      <c r="G133" s="64"/>
      <c r="H133" s="20"/>
      <c r="I133" s="12"/>
      <c r="J133" s="72"/>
      <c r="K133" s="20"/>
      <c r="L133" s="14"/>
      <c r="M133" s="68"/>
      <c r="N133" s="68"/>
      <c r="O133" s="14"/>
    </row>
    <row r="134" spans="4:15" s="25" customFormat="1">
      <c r="D134" s="24"/>
      <c r="E134" s="24"/>
      <c r="F134" s="64"/>
      <c r="G134" s="64"/>
      <c r="H134" s="20"/>
      <c r="I134" s="12"/>
      <c r="J134" s="72"/>
      <c r="K134" s="20"/>
      <c r="L134" s="14"/>
      <c r="M134" s="68"/>
      <c r="N134" s="68"/>
      <c r="O134" s="14"/>
    </row>
    <row r="135" spans="4:15" s="25" customFormat="1">
      <c r="D135" s="24"/>
      <c r="E135" s="24"/>
      <c r="F135" s="64"/>
      <c r="G135" s="64"/>
      <c r="H135" s="20"/>
      <c r="I135" s="12"/>
      <c r="J135" s="72"/>
      <c r="K135" s="20"/>
      <c r="L135" s="14"/>
      <c r="M135" s="68"/>
      <c r="N135" s="68"/>
      <c r="O135" s="14"/>
    </row>
    <row r="136" spans="4:15" s="25" customFormat="1">
      <c r="D136" s="24"/>
      <c r="E136" s="24"/>
      <c r="F136" s="64"/>
      <c r="G136" s="64"/>
      <c r="H136" s="20"/>
      <c r="I136" s="12"/>
      <c r="J136" s="72"/>
      <c r="K136" s="20"/>
      <c r="L136" s="14"/>
      <c r="M136" s="68"/>
      <c r="N136" s="68"/>
      <c r="O136" s="14"/>
    </row>
    <row r="137" spans="4:15" s="25" customFormat="1">
      <c r="D137" s="24"/>
      <c r="E137" s="24"/>
      <c r="F137" s="64"/>
      <c r="G137" s="64"/>
      <c r="H137" s="20"/>
      <c r="I137" s="12"/>
      <c r="J137" s="72"/>
      <c r="K137" s="20"/>
      <c r="L137" s="14"/>
      <c r="M137" s="68"/>
      <c r="N137" s="68"/>
      <c r="O137" s="14"/>
    </row>
    <row r="138" spans="4:15" s="25" customFormat="1">
      <c r="D138" s="24"/>
      <c r="E138" s="24"/>
      <c r="F138" s="64"/>
      <c r="G138" s="64"/>
      <c r="H138" s="20"/>
      <c r="I138" s="12"/>
      <c r="J138" s="72"/>
      <c r="K138" s="20"/>
      <c r="L138" s="14"/>
      <c r="M138" s="68"/>
      <c r="N138" s="68"/>
      <c r="O138" s="14"/>
    </row>
    <row r="139" spans="4:15" s="25" customFormat="1">
      <c r="D139" s="24"/>
      <c r="E139" s="24"/>
      <c r="F139" s="64"/>
      <c r="G139" s="64"/>
      <c r="H139" s="20"/>
      <c r="I139" s="12"/>
      <c r="J139" s="72"/>
      <c r="K139" s="20"/>
      <c r="L139" s="14"/>
      <c r="M139" s="68"/>
      <c r="N139" s="68"/>
      <c r="O139" s="14"/>
    </row>
    <row r="140" spans="4:15" s="25" customFormat="1">
      <c r="D140" s="24"/>
      <c r="E140" s="24"/>
      <c r="F140" s="64"/>
      <c r="G140" s="64"/>
      <c r="H140" s="20"/>
      <c r="I140" s="12"/>
      <c r="J140" s="72"/>
      <c r="K140" s="20"/>
      <c r="L140" s="14"/>
      <c r="M140" s="68"/>
      <c r="N140" s="68"/>
      <c r="O140" s="14"/>
    </row>
    <row r="141" spans="4:15" s="25" customFormat="1">
      <c r="D141" s="24"/>
      <c r="E141" s="24"/>
      <c r="F141" s="64"/>
      <c r="G141" s="64"/>
      <c r="H141" s="20"/>
      <c r="I141" s="12"/>
      <c r="J141" s="72"/>
      <c r="K141" s="20"/>
      <c r="L141" s="14"/>
      <c r="M141" s="68"/>
      <c r="N141" s="68"/>
      <c r="O141" s="14"/>
    </row>
    <row r="142" spans="4:15" s="25" customFormat="1">
      <c r="D142" s="24"/>
      <c r="E142" s="24"/>
      <c r="F142" s="64"/>
      <c r="G142" s="64"/>
      <c r="H142" s="20"/>
      <c r="I142" s="12"/>
      <c r="J142" s="72"/>
      <c r="K142" s="20"/>
      <c r="L142" s="14"/>
      <c r="M142" s="68"/>
      <c r="N142" s="68"/>
      <c r="O142" s="14"/>
    </row>
    <row r="143" spans="4:15" s="25" customFormat="1">
      <c r="D143" s="24"/>
      <c r="E143" s="24"/>
      <c r="F143" s="64"/>
      <c r="G143" s="64"/>
      <c r="H143" s="20"/>
      <c r="I143" s="12"/>
      <c r="J143" s="72"/>
      <c r="K143" s="20"/>
      <c r="L143" s="14"/>
      <c r="M143" s="68"/>
      <c r="N143" s="68"/>
      <c r="O143" s="14"/>
    </row>
    <row r="144" spans="4:15" s="25" customFormat="1">
      <c r="D144" s="24"/>
      <c r="E144" s="24"/>
      <c r="F144" s="64"/>
      <c r="G144" s="64"/>
      <c r="H144" s="20"/>
      <c r="I144" s="12"/>
      <c r="J144" s="72"/>
      <c r="K144" s="20"/>
      <c r="L144" s="14"/>
      <c r="M144" s="68"/>
      <c r="N144" s="68"/>
      <c r="O144" s="14"/>
    </row>
    <row r="145" spans="4:15" s="25" customFormat="1">
      <c r="D145" s="24"/>
      <c r="E145" s="24"/>
      <c r="F145" s="64"/>
      <c r="G145" s="64"/>
      <c r="H145" s="20"/>
      <c r="I145" s="12"/>
      <c r="J145" s="72"/>
      <c r="K145" s="20"/>
      <c r="L145" s="14"/>
      <c r="M145" s="68"/>
      <c r="N145" s="68"/>
      <c r="O145" s="14"/>
    </row>
    <row r="146" spans="4:15" s="25" customFormat="1">
      <c r="D146" s="24"/>
      <c r="E146" s="24"/>
      <c r="F146" s="64"/>
      <c r="G146" s="64"/>
      <c r="H146" s="20"/>
      <c r="I146" s="12"/>
      <c r="J146" s="72"/>
      <c r="K146" s="20"/>
      <c r="L146" s="14"/>
      <c r="M146" s="68"/>
      <c r="N146" s="68"/>
      <c r="O146" s="14"/>
    </row>
    <row r="147" spans="4:15" s="25" customFormat="1">
      <c r="D147" s="24"/>
      <c r="E147" s="24"/>
      <c r="F147" s="64"/>
      <c r="G147" s="64"/>
      <c r="H147" s="20"/>
      <c r="I147" s="12"/>
      <c r="J147" s="72"/>
      <c r="K147" s="20"/>
      <c r="L147" s="14"/>
      <c r="M147" s="68"/>
      <c r="N147" s="68"/>
      <c r="O147" s="14"/>
    </row>
    <row r="148" spans="4:15" s="25" customFormat="1">
      <c r="D148" s="24"/>
      <c r="E148" s="24"/>
      <c r="F148" s="64"/>
      <c r="G148" s="64"/>
      <c r="H148" s="20"/>
      <c r="I148" s="12"/>
      <c r="J148" s="72"/>
      <c r="K148" s="20"/>
      <c r="L148" s="14"/>
      <c r="M148" s="68"/>
      <c r="N148" s="68"/>
      <c r="O148" s="14"/>
    </row>
    <row r="149" spans="4:15" s="25" customFormat="1">
      <c r="D149" s="24"/>
      <c r="E149" s="24"/>
      <c r="F149" s="64"/>
      <c r="G149" s="64"/>
      <c r="H149" s="20"/>
      <c r="I149" s="12"/>
      <c r="J149" s="72"/>
      <c r="K149" s="20"/>
      <c r="L149" s="14"/>
      <c r="M149" s="68"/>
      <c r="N149" s="68"/>
      <c r="O149" s="14"/>
    </row>
    <row r="150" spans="4:15" s="25" customFormat="1">
      <c r="D150" s="24"/>
      <c r="E150" s="24"/>
      <c r="F150" s="64"/>
      <c r="G150" s="64"/>
      <c r="H150" s="20"/>
      <c r="I150" s="12"/>
      <c r="J150" s="72"/>
      <c r="K150" s="20"/>
      <c r="L150" s="14"/>
      <c r="M150" s="68"/>
      <c r="N150" s="68"/>
      <c r="O150" s="14"/>
    </row>
    <row r="151" spans="4:15" s="25" customFormat="1">
      <c r="D151" s="24"/>
      <c r="E151" s="24"/>
      <c r="F151" s="64"/>
      <c r="G151" s="64"/>
      <c r="H151" s="20"/>
      <c r="I151" s="12"/>
      <c r="J151" s="72"/>
      <c r="K151" s="20"/>
      <c r="L151" s="14"/>
      <c r="M151" s="68"/>
      <c r="N151" s="68"/>
      <c r="O151" s="14"/>
    </row>
    <row r="152" spans="4:15" s="25" customFormat="1">
      <c r="D152" s="24"/>
      <c r="E152" s="24"/>
      <c r="F152" s="64"/>
      <c r="G152" s="64"/>
      <c r="H152" s="20"/>
      <c r="I152" s="12"/>
      <c r="J152" s="72"/>
      <c r="K152" s="20"/>
      <c r="L152" s="14"/>
      <c r="M152" s="68"/>
      <c r="N152" s="68"/>
      <c r="O152" s="14"/>
    </row>
    <row r="153" spans="4:15" s="25" customFormat="1">
      <c r="D153" s="24"/>
      <c r="E153" s="24"/>
      <c r="F153" s="64"/>
      <c r="G153" s="64"/>
      <c r="H153" s="20"/>
      <c r="I153" s="12"/>
      <c r="J153" s="72"/>
      <c r="K153" s="20"/>
      <c r="L153" s="14"/>
      <c r="M153" s="68"/>
      <c r="N153" s="68"/>
      <c r="O153" s="14"/>
    </row>
    <row r="154" spans="4:15" s="25" customFormat="1">
      <c r="D154" s="24"/>
      <c r="E154" s="24"/>
      <c r="F154" s="64"/>
      <c r="G154" s="64"/>
      <c r="H154" s="20"/>
      <c r="I154" s="12"/>
      <c r="J154" s="72"/>
      <c r="K154" s="20"/>
      <c r="L154" s="14"/>
      <c r="M154" s="68"/>
      <c r="N154" s="68"/>
      <c r="O154" s="14"/>
    </row>
    <row r="155" spans="4:15" s="25" customFormat="1">
      <c r="D155" s="24"/>
      <c r="E155" s="24"/>
      <c r="F155" s="64"/>
      <c r="G155" s="64"/>
      <c r="H155" s="20"/>
      <c r="I155" s="12"/>
      <c r="J155" s="72"/>
      <c r="K155" s="20"/>
      <c r="L155" s="14"/>
      <c r="M155" s="68"/>
      <c r="N155" s="68"/>
      <c r="O155" s="14"/>
    </row>
    <row r="156" spans="4:15" s="25" customFormat="1">
      <c r="D156" s="24"/>
      <c r="E156" s="24"/>
      <c r="F156" s="64"/>
      <c r="G156" s="64"/>
      <c r="H156" s="20"/>
      <c r="I156" s="12"/>
      <c r="J156" s="72"/>
      <c r="K156" s="20"/>
      <c r="L156" s="14"/>
      <c r="M156" s="68"/>
      <c r="N156" s="68"/>
      <c r="O156" s="14"/>
    </row>
    <row r="157" spans="4:15" s="25" customFormat="1">
      <c r="D157" s="24"/>
      <c r="E157" s="24"/>
      <c r="F157" s="64"/>
      <c r="G157" s="64"/>
      <c r="H157" s="20"/>
      <c r="I157" s="12"/>
      <c r="J157" s="72"/>
      <c r="K157" s="20"/>
      <c r="L157" s="14"/>
      <c r="M157" s="68"/>
      <c r="N157" s="68"/>
      <c r="O157" s="14"/>
    </row>
    <row r="158" spans="4:15" s="25" customFormat="1">
      <c r="D158" s="24"/>
      <c r="E158" s="24"/>
      <c r="F158" s="64"/>
      <c r="G158" s="64"/>
      <c r="H158" s="20"/>
      <c r="I158" s="12"/>
      <c r="J158" s="72"/>
      <c r="K158" s="20"/>
      <c r="L158" s="14"/>
      <c r="M158" s="68"/>
      <c r="N158" s="68"/>
      <c r="O158" s="14"/>
    </row>
    <row r="159" spans="4:15" s="25" customFormat="1">
      <c r="D159" s="24"/>
      <c r="E159" s="24"/>
      <c r="F159" s="64"/>
      <c r="G159" s="64"/>
      <c r="H159" s="20"/>
      <c r="I159" s="12"/>
      <c r="J159" s="72"/>
      <c r="K159" s="20"/>
      <c r="L159" s="14"/>
      <c r="M159" s="68"/>
      <c r="N159" s="68"/>
      <c r="O159" s="14"/>
    </row>
    <row r="160" spans="4:15" s="25" customFormat="1">
      <c r="D160" s="24"/>
      <c r="E160" s="24"/>
      <c r="F160" s="64"/>
      <c r="G160" s="64"/>
      <c r="H160" s="20"/>
      <c r="I160" s="12"/>
      <c r="J160" s="72"/>
      <c r="K160" s="20"/>
      <c r="L160" s="14"/>
      <c r="M160" s="68"/>
      <c r="N160" s="68"/>
      <c r="O160" s="14"/>
    </row>
    <row r="161" spans="4:15" s="25" customFormat="1">
      <c r="D161" s="24"/>
      <c r="E161" s="24"/>
      <c r="F161" s="64"/>
      <c r="G161" s="64"/>
      <c r="H161" s="20"/>
      <c r="I161" s="12"/>
      <c r="J161" s="72"/>
      <c r="K161" s="20"/>
      <c r="L161" s="14"/>
      <c r="M161" s="68"/>
      <c r="N161" s="68"/>
      <c r="O161" s="14"/>
    </row>
    <row r="162" spans="4:15" s="25" customFormat="1">
      <c r="D162" s="24"/>
      <c r="E162" s="24"/>
      <c r="F162" s="64"/>
      <c r="G162" s="64"/>
      <c r="H162" s="20"/>
      <c r="I162" s="12"/>
      <c r="J162" s="72"/>
      <c r="K162" s="20"/>
      <c r="L162" s="14"/>
      <c r="M162" s="68"/>
      <c r="N162" s="68"/>
      <c r="O162" s="14"/>
    </row>
    <row r="163" spans="4:15" s="25" customFormat="1">
      <c r="D163" s="24"/>
      <c r="E163" s="24"/>
      <c r="F163" s="64"/>
      <c r="G163" s="64"/>
      <c r="H163" s="20"/>
      <c r="I163" s="12"/>
      <c r="J163" s="72"/>
      <c r="K163" s="20"/>
      <c r="L163" s="14"/>
      <c r="M163" s="68"/>
      <c r="N163" s="68"/>
      <c r="O163" s="14"/>
    </row>
    <row r="164" spans="4:15" s="25" customFormat="1">
      <c r="D164" s="24"/>
      <c r="E164" s="24"/>
      <c r="F164" s="64"/>
      <c r="G164" s="64"/>
      <c r="H164" s="20"/>
      <c r="I164" s="12"/>
      <c r="J164" s="72"/>
      <c r="K164" s="20"/>
      <c r="L164" s="14"/>
      <c r="M164" s="68"/>
      <c r="N164" s="68"/>
      <c r="O164" s="14"/>
    </row>
    <row r="165" spans="4:15" s="25" customFormat="1">
      <c r="D165" s="24"/>
      <c r="E165" s="24"/>
      <c r="F165" s="64"/>
      <c r="G165" s="64"/>
      <c r="H165" s="20"/>
      <c r="I165" s="12"/>
      <c r="J165" s="72"/>
      <c r="K165" s="20"/>
      <c r="L165" s="14"/>
      <c r="M165" s="68"/>
      <c r="N165" s="68"/>
      <c r="O165" s="14"/>
    </row>
    <row r="166" spans="4:15" s="25" customFormat="1">
      <c r="D166" s="24"/>
      <c r="E166" s="24"/>
      <c r="F166" s="64"/>
      <c r="G166" s="64"/>
      <c r="H166" s="20"/>
      <c r="I166" s="12"/>
      <c r="J166" s="72"/>
      <c r="K166" s="20"/>
      <c r="L166" s="14"/>
      <c r="M166" s="68"/>
      <c r="N166" s="68"/>
      <c r="O166" s="14"/>
    </row>
    <row r="167" spans="4:15" s="25" customFormat="1">
      <c r="D167" s="24"/>
      <c r="E167" s="24"/>
      <c r="F167" s="64"/>
      <c r="G167" s="64"/>
      <c r="H167" s="20"/>
      <c r="I167" s="12"/>
      <c r="J167" s="72"/>
      <c r="K167" s="20"/>
      <c r="L167" s="14"/>
      <c r="M167" s="68"/>
      <c r="N167" s="68"/>
      <c r="O167" s="14"/>
    </row>
    <row r="168" spans="4:15" s="25" customFormat="1">
      <c r="D168" s="24"/>
      <c r="E168" s="24"/>
      <c r="F168" s="64"/>
      <c r="G168" s="64"/>
      <c r="H168" s="20"/>
      <c r="I168" s="12"/>
      <c r="J168" s="72"/>
      <c r="K168" s="20"/>
      <c r="L168" s="14"/>
      <c r="M168" s="68"/>
      <c r="N168" s="68"/>
      <c r="O168" s="14"/>
    </row>
    <row r="169" spans="4:15" s="25" customFormat="1">
      <c r="D169" s="24"/>
      <c r="E169" s="24"/>
      <c r="F169" s="64"/>
      <c r="G169" s="64"/>
      <c r="H169" s="20"/>
      <c r="I169" s="12"/>
      <c r="J169" s="72"/>
      <c r="K169" s="20"/>
      <c r="L169" s="14"/>
      <c r="M169" s="68"/>
      <c r="N169" s="68"/>
      <c r="O169" s="14"/>
    </row>
    <row r="170" spans="4:15" s="25" customFormat="1">
      <c r="D170" s="24"/>
      <c r="E170" s="24"/>
      <c r="F170" s="64"/>
      <c r="G170" s="64"/>
      <c r="H170" s="20"/>
      <c r="I170" s="12"/>
      <c r="J170" s="72"/>
      <c r="K170" s="20"/>
      <c r="L170" s="14"/>
      <c r="M170" s="68"/>
      <c r="N170" s="68"/>
      <c r="O170" s="14"/>
    </row>
    <row r="171" spans="4:15" s="25" customFormat="1">
      <c r="D171" s="24"/>
      <c r="E171" s="24"/>
      <c r="F171" s="64"/>
      <c r="G171" s="64"/>
      <c r="H171" s="20"/>
      <c r="I171" s="12"/>
      <c r="J171" s="72"/>
      <c r="K171" s="20"/>
      <c r="L171" s="14"/>
      <c r="M171" s="68"/>
      <c r="N171" s="68"/>
      <c r="O171" s="14"/>
    </row>
    <row r="172" spans="4:15" s="25" customFormat="1">
      <c r="D172" s="24"/>
      <c r="E172" s="24"/>
      <c r="F172" s="64"/>
      <c r="G172" s="64"/>
      <c r="H172" s="20"/>
      <c r="I172" s="12"/>
      <c r="J172" s="72"/>
      <c r="K172" s="20"/>
      <c r="L172" s="14"/>
      <c r="M172" s="68"/>
      <c r="N172" s="68"/>
      <c r="O172" s="14"/>
    </row>
    <row r="173" spans="4:15" s="25" customFormat="1">
      <c r="D173" s="24"/>
      <c r="E173" s="24"/>
      <c r="F173" s="64"/>
      <c r="G173" s="64"/>
      <c r="H173" s="20"/>
      <c r="I173" s="12"/>
      <c r="J173" s="72"/>
      <c r="K173" s="20"/>
      <c r="L173" s="14"/>
      <c r="M173" s="68"/>
      <c r="N173" s="68"/>
      <c r="O173" s="14"/>
    </row>
    <row r="174" spans="4:15" s="25" customFormat="1">
      <c r="D174" s="24"/>
      <c r="E174" s="24"/>
      <c r="F174" s="64"/>
      <c r="G174" s="64"/>
      <c r="H174" s="20"/>
      <c r="I174" s="12"/>
      <c r="J174" s="72"/>
      <c r="K174" s="20"/>
      <c r="L174" s="14"/>
      <c r="M174" s="68"/>
      <c r="N174" s="68"/>
      <c r="O174" s="14"/>
    </row>
    <row r="175" spans="4:15" s="25" customFormat="1">
      <c r="D175" s="24"/>
      <c r="E175" s="24"/>
      <c r="F175" s="64"/>
      <c r="G175" s="64"/>
      <c r="H175" s="20"/>
      <c r="I175" s="12"/>
      <c r="J175" s="72"/>
      <c r="K175" s="20"/>
      <c r="L175" s="14"/>
      <c r="M175" s="68"/>
      <c r="N175" s="68"/>
      <c r="O175" s="14"/>
    </row>
    <row r="176" spans="4:15" s="25" customFormat="1">
      <c r="D176" s="24"/>
      <c r="E176" s="24"/>
      <c r="F176" s="64"/>
      <c r="G176" s="64"/>
      <c r="H176" s="20"/>
      <c r="I176" s="12"/>
      <c r="J176" s="72"/>
      <c r="K176" s="20"/>
      <c r="L176" s="14"/>
      <c r="M176" s="68"/>
      <c r="N176" s="68"/>
      <c r="O176" s="14"/>
    </row>
    <row r="177" spans="4:15" s="25" customFormat="1">
      <c r="D177" s="24"/>
      <c r="E177" s="24"/>
      <c r="F177" s="64"/>
      <c r="G177" s="64"/>
      <c r="H177" s="20"/>
      <c r="I177" s="12"/>
      <c r="J177" s="72"/>
      <c r="K177" s="20"/>
      <c r="L177" s="14"/>
      <c r="M177" s="68"/>
      <c r="N177" s="68"/>
      <c r="O177" s="14"/>
    </row>
    <row r="178" spans="4:15" s="25" customFormat="1">
      <c r="D178" s="24"/>
      <c r="E178" s="24"/>
      <c r="F178" s="64"/>
      <c r="G178" s="64"/>
      <c r="H178" s="20"/>
      <c r="I178" s="12"/>
      <c r="J178" s="72"/>
      <c r="K178" s="20"/>
      <c r="L178" s="14"/>
      <c r="M178" s="68"/>
      <c r="N178" s="68"/>
      <c r="O178" s="14"/>
    </row>
    <row r="179" spans="4:15" s="25" customFormat="1">
      <c r="D179" s="24"/>
      <c r="E179" s="24"/>
      <c r="F179" s="64"/>
      <c r="G179" s="64"/>
      <c r="H179" s="20"/>
      <c r="I179" s="12"/>
      <c r="J179" s="72"/>
      <c r="K179" s="20"/>
      <c r="L179" s="14"/>
      <c r="M179" s="68"/>
      <c r="N179" s="68"/>
      <c r="O179" s="14"/>
    </row>
    <row r="180" spans="4:15" s="25" customFormat="1">
      <c r="D180" s="24"/>
      <c r="E180" s="24"/>
      <c r="F180" s="64"/>
      <c r="G180" s="64"/>
      <c r="H180" s="20"/>
      <c r="I180" s="12"/>
      <c r="J180" s="72"/>
      <c r="K180" s="20"/>
      <c r="L180" s="14"/>
      <c r="M180" s="68"/>
      <c r="N180" s="68"/>
      <c r="O180" s="14"/>
    </row>
    <row r="181" spans="4:15" s="25" customFormat="1">
      <c r="D181" s="24"/>
      <c r="E181" s="24"/>
      <c r="F181" s="64"/>
      <c r="G181" s="64"/>
      <c r="H181" s="20"/>
      <c r="I181" s="12"/>
      <c r="J181" s="72"/>
      <c r="K181" s="20"/>
      <c r="L181" s="14"/>
      <c r="M181" s="68"/>
      <c r="N181" s="68"/>
      <c r="O181" s="14"/>
    </row>
    <row r="182" spans="4:15" s="25" customFormat="1">
      <c r="D182" s="24"/>
      <c r="E182" s="24"/>
      <c r="F182" s="64"/>
      <c r="G182" s="64"/>
      <c r="H182" s="20"/>
      <c r="I182" s="12"/>
      <c r="J182" s="72"/>
      <c r="K182" s="20"/>
      <c r="L182" s="14"/>
      <c r="M182" s="68"/>
      <c r="N182" s="68"/>
      <c r="O182" s="14"/>
    </row>
    <row r="183" spans="4:15" s="25" customFormat="1">
      <c r="D183" s="24"/>
      <c r="E183" s="24"/>
      <c r="F183" s="64"/>
      <c r="G183" s="64"/>
      <c r="H183" s="20"/>
      <c r="I183" s="12"/>
      <c r="J183" s="72"/>
      <c r="K183" s="20"/>
      <c r="L183" s="14"/>
      <c r="M183" s="68"/>
      <c r="N183" s="68"/>
      <c r="O183" s="14"/>
    </row>
    <row r="184" spans="4:15" s="25" customFormat="1">
      <c r="D184" s="24"/>
      <c r="E184" s="24"/>
      <c r="F184" s="64"/>
      <c r="G184" s="64"/>
      <c r="H184" s="20"/>
      <c r="I184" s="12"/>
      <c r="J184" s="72"/>
      <c r="K184" s="20"/>
      <c r="L184" s="14"/>
      <c r="M184" s="68"/>
      <c r="N184" s="68"/>
      <c r="O184" s="14"/>
    </row>
    <row r="185" spans="4:15" s="25" customFormat="1">
      <c r="D185" s="24"/>
      <c r="E185" s="24"/>
      <c r="F185" s="64"/>
      <c r="G185" s="64"/>
      <c r="H185" s="20"/>
      <c r="I185" s="12"/>
      <c r="J185" s="72"/>
      <c r="K185" s="20"/>
      <c r="L185" s="14"/>
      <c r="M185" s="68"/>
      <c r="N185" s="68"/>
      <c r="O185" s="14"/>
    </row>
    <row r="186" spans="4:15" s="25" customFormat="1">
      <c r="D186" s="24"/>
      <c r="E186" s="24"/>
      <c r="F186" s="64"/>
      <c r="G186" s="64"/>
      <c r="H186" s="20"/>
      <c r="I186" s="12"/>
      <c r="J186" s="72"/>
      <c r="K186" s="20"/>
      <c r="L186" s="14"/>
      <c r="M186" s="68"/>
      <c r="N186" s="68"/>
      <c r="O186" s="14"/>
    </row>
    <row r="187" spans="4:15" s="25" customFormat="1">
      <c r="D187" s="24"/>
      <c r="E187" s="24"/>
      <c r="F187" s="64"/>
      <c r="G187" s="64"/>
      <c r="H187" s="20"/>
      <c r="I187" s="12"/>
      <c r="J187" s="72"/>
      <c r="K187" s="20"/>
      <c r="L187" s="14"/>
      <c r="M187" s="68"/>
      <c r="N187" s="68"/>
      <c r="O187" s="14"/>
    </row>
    <row r="188" spans="4:15" s="25" customFormat="1">
      <c r="D188" s="24"/>
      <c r="E188" s="24"/>
      <c r="F188" s="64"/>
      <c r="G188" s="64"/>
      <c r="H188" s="20"/>
      <c r="I188" s="12"/>
      <c r="J188" s="72"/>
      <c r="K188" s="20"/>
      <c r="L188" s="14"/>
      <c r="M188" s="68"/>
      <c r="N188" s="68"/>
      <c r="O188" s="14"/>
    </row>
    <row r="189" spans="4:15" s="25" customFormat="1">
      <c r="D189" s="24"/>
      <c r="E189" s="24"/>
      <c r="F189" s="64"/>
      <c r="G189" s="64"/>
      <c r="H189" s="20"/>
      <c r="I189" s="12"/>
      <c r="J189" s="72"/>
      <c r="K189" s="20"/>
      <c r="L189" s="14"/>
      <c r="M189" s="68"/>
      <c r="N189" s="68"/>
      <c r="O189" s="14"/>
    </row>
    <row r="190" spans="4:15" s="25" customFormat="1">
      <c r="D190" s="24"/>
      <c r="E190" s="24"/>
      <c r="F190" s="64"/>
      <c r="G190" s="64"/>
      <c r="H190" s="20"/>
      <c r="I190" s="12"/>
      <c r="J190" s="72"/>
      <c r="K190" s="20"/>
      <c r="L190" s="14"/>
      <c r="M190" s="68"/>
      <c r="N190" s="68"/>
      <c r="O190" s="14"/>
    </row>
    <row r="191" spans="4:15" s="25" customFormat="1">
      <c r="D191" s="24"/>
      <c r="E191" s="24"/>
      <c r="F191" s="64"/>
      <c r="G191" s="64"/>
      <c r="H191" s="20"/>
      <c r="I191" s="12"/>
      <c r="J191" s="72"/>
      <c r="K191" s="20"/>
      <c r="L191" s="14"/>
      <c r="M191" s="68"/>
      <c r="N191" s="68"/>
      <c r="O191" s="14"/>
    </row>
    <row r="192" spans="4:15" s="25" customFormat="1">
      <c r="D192" s="24"/>
      <c r="E192" s="24"/>
      <c r="F192" s="64"/>
      <c r="G192" s="64"/>
      <c r="H192" s="20"/>
      <c r="I192" s="12"/>
      <c r="J192" s="72"/>
      <c r="K192" s="20"/>
      <c r="L192" s="14"/>
      <c r="M192" s="68"/>
      <c r="N192" s="68"/>
      <c r="O192" s="14"/>
    </row>
    <row r="193" spans="4:15" s="25" customFormat="1">
      <c r="D193" s="24"/>
      <c r="E193" s="24"/>
      <c r="F193" s="64"/>
      <c r="G193" s="64"/>
      <c r="H193" s="20"/>
      <c r="I193" s="12"/>
      <c r="J193" s="72"/>
      <c r="K193" s="20"/>
      <c r="L193" s="14"/>
      <c r="M193" s="68"/>
      <c r="N193" s="68"/>
      <c r="O193" s="14"/>
    </row>
    <row r="194" spans="4:15" s="25" customFormat="1">
      <c r="D194" s="24"/>
      <c r="E194" s="24"/>
      <c r="F194" s="64"/>
      <c r="G194" s="64"/>
      <c r="H194" s="20"/>
      <c r="I194" s="12"/>
      <c r="J194" s="72"/>
      <c r="K194" s="20"/>
      <c r="L194" s="14"/>
      <c r="M194" s="68"/>
      <c r="N194" s="68"/>
      <c r="O194" s="14"/>
    </row>
    <row r="195" spans="4:15" s="25" customFormat="1">
      <c r="D195" s="24"/>
      <c r="E195" s="24"/>
      <c r="F195" s="64"/>
      <c r="G195" s="64"/>
      <c r="H195" s="20"/>
      <c r="I195" s="12"/>
      <c r="J195" s="72"/>
      <c r="K195" s="20"/>
      <c r="L195" s="14"/>
      <c r="M195" s="68"/>
      <c r="N195" s="68"/>
      <c r="O195" s="14"/>
    </row>
    <row r="196" spans="4:15" s="25" customFormat="1">
      <c r="D196" s="24"/>
      <c r="E196" s="24"/>
      <c r="F196" s="64"/>
      <c r="G196" s="64"/>
      <c r="H196" s="20"/>
      <c r="I196" s="12"/>
      <c r="J196" s="72"/>
      <c r="K196" s="20"/>
      <c r="L196" s="14"/>
      <c r="M196" s="68"/>
      <c r="N196" s="68"/>
      <c r="O196" s="14"/>
    </row>
    <row r="197" spans="4:15" s="25" customFormat="1">
      <c r="D197" s="24"/>
      <c r="E197" s="24"/>
      <c r="F197" s="64"/>
      <c r="G197" s="64"/>
      <c r="H197" s="20"/>
      <c r="I197" s="12"/>
      <c r="J197" s="72"/>
      <c r="K197" s="20"/>
      <c r="L197" s="14"/>
      <c r="M197" s="68"/>
      <c r="N197" s="68"/>
      <c r="O197" s="14"/>
    </row>
    <row r="198" spans="4:15" s="25" customFormat="1">
      <c r="D198" s="24"/>
      <c r="E198" s="24"/>
      <c r="F198" s="64"/>
      <c r="G198" s="64"/>
      <c r="H198" s="20"/>
      <c r="I198" s="12"/>
      <c r="J198" s="72"/>
      <c r="K198" s="20"/>
      <c r="L198" s="14"/>
      <c r="M198" s="68"/>
      <c r="N198" s="68"/>
      <c r="O198" s="14"/>
    </row>
    <row r="199" spans="4:15" s="25" customFormat="1">
      <c r="D199" s="24"/>
      <c r="E199" s="24"/>
      <c r="F199" s="64"/>
      <c r="G199" s="64"/>
      <c r="H199" s="20"/>
      <c r="I199" s="12"/>
      <c r="J199" s="72"/>
      <c r="K199" s="20"/>
      <c r="L199" s="14"/>
      <c r="M199" s="68"/>
      <c r="N199" s="68"/>
      <c r="O199" s="14"/>
    </row>
    <row r="200" spans="4:15" s="25" customFormat="1">
      <c r="D200" s="24"/>
      <c r="E200" s="24"/>
      <c r="F200" s="64"/>
      <c r="G200" s="64"/>
      <c r="H200" s="20"/>
      <c r="I200" s="12"/>
      <c r="J200" s="72"/>
      <c r="K200" s="20"/>
      <c r="L200" s="14"/>
      <c r="M200" s="68"/>
      <c r="N200" s="68"/>
      <c r="O200" s="14"/>
    </row>
    <row r="201" spans="4:15" s="25" customFormat="1">
      <c r="D201" s="24"/>
      <c r="E201" s="24"/>
      <c r="F201" s="64"/>
      <c r="G201" s="64"/>
      <c r="H201" s="20"/>
      <c r="I201" s="12"/>
      <c r="J201" s="72"/>
      <c r="K201" s="20"/>
      <c r="L201" s="14"/>
      <c r="M201" s="68"/>
      <c r="N201" s="68"/>
      <c r="O201" s="14"/>
    </row>
    <row r="202" spans="4:15" s="25" customFormat="1">
      <c r="D202" s="24"/>
      <c r="E202" s="24"/>
      <c r="F202" s="64"/>
      <c r="G202" s="64"/>
      <c r="H202" s="20"/>
      <c r="I202" s="12"/>
      <c r="J202" s="72"/>
      <c r="K202" s="20"/>
      <c r="L202" s="14"/>
      <c r="M202" s="68"/>
      <c r="N202" s="68"/>
      <c r="O202" s="14"/>
    </row>
    <row r="203" spans="4:15" s="25" customFormat="1">
      <c r="D203" s="24"/>
      <c r="E203" s="24"/>
      <c r="F203" s="64"/>
      <c r="G203" s="64"/>
      <c r="H203" s="20"/>
      <c r="I203" s="12"/>
      <c r="J203" s="72"/>
      <c r="K203" s="20"/>
      <c r="L203" s="14"/>
      <c r="M203" s="68"/>
      <c r="N203" s="68"/>
      <c r="O203" s="14"/>
    </row>
    <row r="204" spans="4:15" s="25" customFormat="1">
      <c r="D204" s="24"/>
      <c r="E204" s="24"/>
      <c r="F204" s="64"/>
      <c r="G204" s="64"/>
      <c r="H204" s="20"/>
      <c r="I204" s="12"/>
      <c r="J204" s="72"/>
      <c r="K204" s="20"/>
      <c r="L204" s="14"/>
      <c r="M204" s="68"/>
      <c r="N204" s="68"/>
      <c r="O204" s="14"/>
    </row>
    <row r="205" spans="4:15" s="25" customFormat="1">
      <c r="D205" s="24"/>
      <c r="E205" s="24"/>
      <c r="F205" s="64"/>
      <c r="G205" s="64"/>
      <c r="H205" s="20"/>
      <c r="I205" s="12"/>
      <c r="J205" s="72"/>
      <c r="K205" s="20"/>
      <c r="L205" s="14"/>
      <c r="M205" s="68"/>
      <c r="N205" s="68"/>
      <c r="O205" s="14"/>
    </row>
    <row r="206" spans="4:15" s="25" customFormat="1">
      <c r="D206" s="24"/>
      <c r="E206" s="24"/>
      <c r="F206" s="64"/>
      <c r="G206" s="64"/>
      <c r="H206" s="20"/>
      <c r="I206" s="12"/>
      <c r="J206" s="72"/>
      <c r="K206" s="20"/>
      <c r="L206" s="14"/>
      <c r="M206" s="68"/>
      <c r="N206" s="68"/>
      <c r="O206" s="14"/>
    </row>
    <row r="207" spans="4:15" s="25" customFormat="1">
      <c r="D207" s="24"/>
      <c r="E207" s="24"/>
      <c r="F207" s="64"/>
      <c r="G207" s="64"/>
      <c r="H207" s="20"/>
      <c r="I207" s="12"/>
      <c r="J207" s="72"/>
      <c r="K207" s="20"/>
      <c r="L207" s="14"/>
      <c r="M207" s="68"/>
      <c r="N207" s="68"/>
      <c r="O207" s="14"/>
    </row>
    <row r="208" spans="4:15" s="25" customFormat="1">
      <c r="D208" s="24"/>
      <c r="E208" s="24"/>
      <c r="F208" s="64"/>
      <c r="G208" s="64"/>
      <c r="H208" s="20"/>
      <c r="I208" s="12"/>
      <c r="J208" s="72"/>
      <c r="K208" s="20"/>
      <c r="L208" s="14"/>
      <c r="M208" s="68"/>
      <c r="N208" s="68"/>
      <c r="O208" s="14"/>
    </row>
    <row r="209" spans="4:15" s="25" customFormat="1">
      <c r="D209" s="24"/>
      <c r="E209" s="24"/>
      <c r="F209" s="64"/>
      <c r="G209" s="64"/>
      <c r="H209" s="20"/>
      <c r="I209" s="12"/>
      <c r="J209" s="72"/>
      <c r="K209" s="20"/>
      <c r="L209" s="14"/>
      <c r="M209" s="68"/>
      <c r="N209" s="68"/>
      <c r="O209" s="14"/>
    </row>
    <row r="210" spans="4:15" s="25" customFormat="1">
      <c r="D210" s="24"/>
      <c r="E210" s="24"/>
      <c r="F210" s="64"/>
      <c r="G210" s="64"/>
      <c r="H210" s="20"/>
      <c r="I210" s="12"/>
      <c r="J210" s="72"/>
      <c r="K210" s="20"/>
      <c r="L210" s="14"/>
      <c r="M210" s="68"/>
      <c r="N210" s="68"/>
      <c r="O210" s="14"/>
    </row>
    <row r="211" spans="4:15" s="25" customFormat="1">
      <c r="D211" s="24"/>
      <c r="E211" s="24"/>
      <c r="F211" s="64"/>
      <c r="G211" s="64"/>
      <c r="H211" s="20"/>
      <c r="I211" s="12"/>
      <c r="J211" s="72"/>
      <c r="K211" s="20"/>
      <c r="L211" s="14"/>
      <c r="M211" s="68"/>
      <c r="N211" s="68"/>
      <c r="O211" s="14"/>
    </row>
    <row r="212" spans="4:15" s="25" customFormat="1">
      <c r="D212" s="24"/>
      <c r="E212" s="24"/>
      <c r="F212" s="64"/>
      <c r="G212" s="64"/>
      <c r="H212" s="20"/>
      <c r="I212" s="12"/>
      <c r="J212" s="72"/>
      <c r="K212" s="20"/>
      <c r="L212" s="14"/>
      <c r="M212" s="68"/>
      <c r="N212" s="68"/>
      <c r="O212" s="14"/>
    </row>
    <row r="213" spans="4:15" s="25" customFormat="1">
      <c r="D213" s="24"/>
      <c r="E213" s="24"/>
      <c r="F213" s="64"/>
      <c r="G213" s="64"/>
      <c r="H213" s="20"/>
      <c r="I213" s="12"/>
      <c r="J213" s="72"/>
      <c r="K213" s="20"/>
      <c r="L213" s="14"/>
      <c r="M213" s="68"/>
      <c r="N213" s="68"/>
      <c r="O213" s="14"/>
    </row>
    <row r="214" spans="4:15" s="25" customFormat="1">
      <c r="D214" s="24"/>
      <c r="E214" s="24"/>
      <c r="F214" s="64"/>
      <c r="G214" s="64"/>
      <c r="H214" s="20"/>
      <c r="I214" s="12"/>
      <c r="J214" s="72"/>
      <c r="K214" s="20"/>
      <c r="L214" s="14"/>
      <c r="M214" s="68"/>
      <c r="N214" s="68"/>
      <c r="O214" s="14"/>
    </row>
    <row r="215" spans="4:15" s="25" customFormat="1">
      <c r="D215" s="24"/>
      <c r="E215" s="24"/>
      <c r="F215" s="64"/>
      <c r="G215" s="64"/>
      <c r="H215" s="20"/>
      <c r="I215" s="12"/>
      <c r="J215" s="72"/>
      <c r="K215" s="20"/>
      <c r="L215" s="14"/>
      <c r="M215" s="68"/>
      <c r="N215" s="68"/>
      <c r="O215" s="14"/>
    </row>
    <row r="216" spans="4:15" s="25" customFormat="1">
      <c r="D216" s="24"/>
      <c r="E216" s="24"/>
      <c r="F216" s="64"/>
      <c r="G216" s="64"/>
      <c r="H216" s="20"/>
      <c r="I216" s="12"/>
      <c r="J216" s="72"/>
      <c r="K216" s="20"/>
      <c r="L216" s="14"/>
      <c r="M216" s="68"/>
      <c r="N216" s="68"/>
      <c r="O216" s="14"/>
    </row>
    <row r="217" spans="4:15" s="25" customFormat="1">
      <c r="D217" s="24"/>
      <c r="E217" s="24"/>
      <c r="F217" s="64"/>
      <c r="G217" s="64"/>
      <c r="H217" s="20"/>
      <c r="I217" s="12"/>
      <c r="J217" s="72"/>
      <c r="K217" s="20"/>
      <c r="L217" s="14"/>
      <c r="M217" s="68"/>
      <c r="N217" s="68"/>
      <c r="O217" s="14"/>
    </row>
    <row r="218" spans="4:15" s="25" customFormat="1">
      <c r="D218" s="24"/>
      <c r="E218" s="24"/>
      <c r="F218" s="64"/>
      <c r="G218" s="64"/>
      <c r="H218" s="20"/>
      <c r="I218" s="12"/>
      <c r="J218" s="72"/>
      <c r="K218" s="20"/>
      <c r="L218" s="14"/>
      <c r="M218" s="68"/>
      <c r="N218" s="68"/>
      <c r="O218" s="14"/>
    </row>
    <row r="219" spans="4:15" s="25" customFormat="1">
      <c r="D219" s="24"/>
      <c r="E219" s="24"/>
      <c r="F219" s="64"/>
      <c r="G219" s="64"/>
      <c r="H219" s="20"/>
      <c r="I219" s="12"/>
      <c r="J219" s="72"/>
      <c r="K219" s="20"/>
      <c r="L219" s="14"/>
      <c r="M219" s="68"/>
      <c r="N219" s="68"/>
      <c r="O219" s="14"/>
    </row>
    <row r="220" spans="4:15" s="25" customFormat="1">
      <c r="D220" s="24"/>
      <c r="E220" s="24"/>
      <c r="F220" s="64"/>
      <c r="G220" s="64"/>
      <c r="H220" s="20"/>
      <c r="I220" s="12"/>
      <c r="J220" s="72"/>
      <c r="K220" s="20"/>
      <c r="L220" s="14"/>
      <c r="M220" s="68"/>
      <c r="N220" s="68"/>
      <c r="O220" s="14"/>
    </row>
    <row r="221" spans="4:15" s="25" customFormat="1">
      <c r="D221" s="24"/>
      <c r="E221" s="24"/>
      <c r="F221" s="64"/>
      <c r="G221" s="64"/>
      <c r="H221" s="20"/>
      <c r="I221" s="12"/>
      <c r="J221" s="72"/>
      <c r="K221" s="20"/>
      <c r="L221" s="14"/>
      <c r="M221" s="68"/>
      <c r="N221" s="68"/>
      <c r="O221" s="14"/>
    </row>
    <row r="222" spans="4:15" s="25" customFormat="1">
      <c r="D222" s="24"/>
      <c r="E222" s="24"/>
      <c r="F222" s="64"/>
      <c r="G222" s="64"/>
      <c r="H222" s="20"/>
      <c r="I222" s="12"/>
      <c r="J222" s="72"/>
      <c r="K222" s="20"/>
      <c r="L222" s="14"/>
      <c r="M222" s="68"/>
      <c r="N222" s="68"/>
      <c r="O222" s="14"/>
    </row>
    <row r="223" spans="4:15" s="25" customFormat="1">
      <c r="D223" s="24"/>
      <c r="E223" s="24"/>
      <c r="F223" s="64"/>
      <c r="G223" s="64"/>
      <c r="H223" s="20"/>
      <c r="I223" s="12"/>
      <c r="J223" s="72"/>
      <c r="K223" s="20"/>
      <c r="L223" s="14"/>
      <c r="M223" s="68"/>
      <c r="N223" s="68"/>
      <c r="O223" s="14"/>
    </row>
    <row r="224" spans="4:15" s="25" customFormat="1">
      <c r="D224" s="24"/>
      <c r="E224" s="24"/>
      <c r="F224" s="64"/>
      <c r="G224" s="64"/>
      <c r="H224" s="20"/>
      <c r="I224" s="12"/>
      <c r="J224" s="72"/>
      <c r="K224" s="20"/>
      <c r="L224" s="14"/>
      <c r="M224" s="68"/>
      <c r="N224" s="68"/>
      <c r="O224" s="14"/>
    </row>
    <row r="225" spans="4:15" s="25" customFormat="1">
      <c r="D225" s="24"/>
      <c r="E225" s="24"/>
      <c r="F225" s="64"/>
      <c r="G225" s="64"/>
      <c r="H225" s="20"/>
      <c r="I225" s="12"/>
      <c r="J225" s="72"/>
      <c r="K225" s="20"/>
      <c r="L225" s="14"/>
      <c r="M225" s="68"/>
      <c r="N225" s="68"/>
      <c r="O225" s="14"/>
    </row>
    <row r="226" spans="4:15" s="25" customFormat="1">
      <c r="D226" s="24"/>
      <c r="E226" s="24"/>
      <c r="F226" s="64"/>
      <c r="G226" s="64"/>
      <c r="H226" s="20"/>
      <c r="I226" s="12"/>
      <c r="J226" s="72"/>
      <c r="K226" s="20"/>
      <c r="L226" s="14"/>
      <c r="M226" s="68"/>
      <c r="N226" s="68"/>
      <c r="O226" s="14"/>
    </row>
    <row r="227" spans="4:15" s="25" customFormat="1">
      <c r="D227" s="24"/>
      <c r="E227" s="24"/>
      <c r="F227" s="64"/>
      <c r="G227" s="64"/>
      <c r="H227" s="20"/>
      <c r="I227" s="12"/>
      <c r="J227" s="72"/>
      <c r="K227" s="20"/>
      <c r="L227" s="14"/>
      <c r="M227" s="68"/>
      <c r="N227" s="68"/>
      <c r="O227" s="14"/>
    </row>
    <row r="228" spans="4:15" s="25" customFormat="1">
      <c r="D228" s="24"/>
      <c r="E228" s="24"/>
      <c r="F228" s="64"/>
      <c r="G228" s="64"/>
      <c r="H228" s="20"/>
      <c r="I228" s="12"/>
      <c r="J228" s="72"/>
      <c r="K228" s="20"/>
      <c r="L228" s="14"/>
      <c r="M228" s="68"/>
      <c r="N228" s="68"/>
      <c r="O228" s="14"/>
    </row>
    <row r="229" spans="4:15" s="25" customFormat="1">
      <c r="D229" s="24"/>
      <c r="E229" s="24"/>
      <c r="F229" s="64"/>
      <c r="G229" s="64"/>
      <c r="H229" s="20"/>
      <c r="I229" s="12"/>
      <c r="J229" s="72"/>
      <c r="K229" s="20"/>
      <c r="L229" s="14"/>
      <c r="M229" s="68"/>
      <c r="N229" s="68"/>
      <c r="O229" s="14"/>
    </row>
    <row r="230" spans="4:15" s="25" customFormat="1">
      <c r="D230" s="24"/>
      <c r="E230" s="24"/>
      <c r="F230" s="64"/>
      <c r="G230" s="64"/>
      <c r="H230" s="20"/>
      <c r="I230" s="12"/>
      <c r="J230" s="72"/>
      <c r="K230" s="20"/>
      <c r="L230" s="14"/>
      <c r="M230" s="68"/>
      <c r="N230" s="68"/>
      <c r="O230" s="14"/>
    </row>
    <row r="231" spans="4:15" s="25" customFormat="1">
      <c r="D231" s="24"/>
      <c r="E231" s="24"/>
      <c r="F231" s="64"/>
      <c r="G231" s="64"/>
      <c r="H231" s="20"/>
      <c r="I231" s="12"/>
      <c r="J231" s="72"/>
      <c r="K231" s="20"/>
      <c r="L231" s="14"/>
      <c r="M231" s="68"/>
      <c r="N231" s="68"/>
      <c r="O231" s="14"/>
    </row>
    <row r="232" spans="4:15" s="25" customFormat="1">
      <c r="D232" s="24"/>
      <c r="E232" s="24"/>
      <c r="F232" s="64"/>
      <c r="G232" s="64"/>
      <c r="H232" s="20"/>
      <c r="I232" s="12"/>
      <c r="J232" s="72"/>
      <c r="K232" s="20"/>
      <c r="L232" s="14"/>
      <c r="M232" s="68"/>
      <c r="N232" s="68"/>
      <c r="O232" s="14"/>
    </row>
    <row r="233" spans="4:15" s="25" customFormat="1">
      <c r="D233" s="24"/>
      <c r="E233" s="24"/>
      <c r="F233" s="64"/>
      <c r="G233" s="64"/>
      <c r="H233" s="20"/>
      <c r="I233" s="12"/>
      <c r="J233" s="72"/>
      <c r="K233" s="20"/>
      <c r="L233" s="14"/>
      <c r="M233" s="68"/>
      <c r="N233" s="68"/>
      <c r="O233" s="14"/>
    </row>
    <row r="234" spans="4:15" s="25" customFormat="1">
      <c r="D234" s="24"/>
      <c r="E234" s="24"/>
      <c r="F234" s="64"/>
      <c r="G234" s="64"/>
      <c r="H234" s="20"/>
      <c r="I234" s="12"/>
      <c r="J234" s="72"/>
      <c r="K234" s="20"/>
      <c r="L234" s="14"/>
      <c r="M234" s="68"/>
      <c r="N234" s="68"/>
      <c r="O234" s="14"/>
    </row>
    <row r="235" spans="4:15" s="25" customFormat="1">
      <c r="D235" s="24"/>
      <c r="E235" s="24"/>
      <c r="F235" s="64"/>
      <c r="G235" s="64"/>
      <c r="H235" s="20"/>
      <c r="I235" s="12"/>
      <c r="J235" s="72"/>
      <c r="K235" s="20"/>
      <c r="L235" s="14"/>
      <c r="M235" s="68"/>
      <c r="N235" s="68"/>
      <c r="O235" s="14"/>
    </row>
    <row r="236" spans="4:15" s="25" customFormat="1">
      <c r="D236" s="24"/>
      <c r="E236" s="24"/>
      <c r="F236" s="64"/>
      <c r="G236" s="64"/>
      <c r="H236" s="20"/>
      <c r="I236" s="12"/>
      <c r="J236" s="72"/>
      <c r="K236" s="20"/>
      <c r="L236" s="14"/>
      <c r="M236" s="68"/>
      <c r="N236" s="68"/>
      <c r="O236" s="14"/>
    </row>
    <row r="237" spans="4:15" s="25" customFormat="1">
      <c r="D237" s="24"/>
      <c r="E237" s="24"/>
      <c r="F237" s="64"/>
      <c r="G237" s="64"/>
      <c r="H237" s="20"/>
      <c r="I237" s="12"/>
      <c r="J237" s="72"/>
      <c r="K237" s="20"/>
      <c r="L237" s="14"/>
      <c r="M237" s="68"/>
      <c r="N237" s="68"/>
      <c r="O237" s="14"/>
    </row>
    <row r="238" spans="4:15" s="25" customFormat="1">
      <c r="D238" s="24"/>
      <c r="E238" s="24"/>
      <c r="F238" s="64"/>
      <c r="G238" s="64"/>
      <c r="H238" s="20"/>
      <c r="I238" s="12"/>
      <c r="J238" s="72"/>
      <c r="K238" s="20"/>
      <c r="L238" s="14"/>
      <c r="M238" s="68"/>
      <c r="N238" s="68"/>
      <c r="O238" s="14"/>
    </row>
    <row r="239" spans="4:15" s="25" customFormat="1">
      <c r="D239" s="24"/>
      <c r="E239" s="24"/>
      <c r="F239" s="64"/>
      <c r="G239" s="64"/>
      <c r="H239" s="20"/>
      <c r="I239" s="12"/>
      <c r="J239" s="72"/>
      <c r="K239" s="20"/>
      <c r="L239" s="14"/>
      <c r="M239" s="68"/>
      <c r="N239" s="68"/>
      <c r="O239" s="14"/>
    </row>
    <row r="240" spans="4:15" s="25" customFormat="1">
      <c r="D240" s="24"/>
      <c r="E240" s="24"/>
      <c r="F240" s="64"/>
      <c r="G240" s="64"/>
      <c r="H240" s="20"/>
      <c r="I240" s="12"/>
      <c r="J240" s="72"/>
      <c r="K240" s="20"/>
      <c r="L240" s="14"/>
      <c r="M240" s="68"/>
      <c r="N240" s="68"/>
      <c r="O240" s="14"/>
    </row>
    <row r="241" spans="4:15" s="25" customFormat="1">
      <c r="D241" s="24"/>
      <c r="E241" s="24"/>
      <c r="F241" s="64"/>
      <c r="G241" s="64"/>
      <c r="H241" s="20"/>
      <c r="I241" s="12"/>
      <c r="J241" s="72"/>
      <c r="K241" s="20"/>
      <c r="L241" s="14"/>
      <c r="M241" s="68"/>
      <c r="N241" s="68"/>
      <c r="O241" s="14"/>
    </row>
    <row r="242" spans="4:15" s="25" customFormat="1">
      <c r="D242" s="24"/>
      <c r="E242" s="24"/>
      <c r="F242" s="64"/>
      <c r="G242" s="64"/>
      <c r="H242" s="20"/>
      <c r="I242" s="12"/>
      <c r="J242" s="72"/>
      <c r="K242" s="20"/>
      <c r="L242" s="14"/>
      <c r="M242" s="68"/>
      <c r="N242" s="68"/>
      <c r="O242" s="14"/>
    </row>
    <row r="243" spans="4:15" s="25" customFormat="1">
      <c r="D243" s="24"/>
      <c r="E243" s="24"/>
      <c r="F243" s="64"/>
      <c r="G243" s="64"/>
      <c r="H243" s="20"/>
      <c r="I243" s="12"/>
      <c r="J243" s="72"/>
      <c r="K243" s="20"/>
      <c r="L243" s="14"/>
      <c r="M243" s="68"/>
      <c r="N243" s="68"/>
      <c r="O243" s="14"/>
    </row>
    <row r="244" spans="4:15" s="25" customFormat="1">
      <c r="D244" s="24"/>
      <c r="E244" s="24"/>
      <c r="F244" s="64"/>
      <c r="G244" s="64"/>
      <c r="H244" s="20"/>
      <c r="I244" s="12"/>
      <c r="J244" s="72"/>
      <c r="K244" s="20"/>
      <c r="L244" s="14"/>
      <c r="M244" s="68"/>
      <c r="N244" s="68"/>
      <c r="O244" s="14"/>
    </row>
    <row r="245" spans="4:15" s="25" customFormat="1">
      <c r="D245" s="24"/>
      <c r="E245" s="24"/>
      <c r="F245" s="64"/>
      <c r="G245" s="64"/>
      <c r="H245" s="20"/>
      <c r="I245" s="12"/>
      <c r="J245" s="72"/>
      <c r="K245" s="20"/>
      <c r="L245" s="14"/>
      <c r="M245" s="68"/>
      <c r="N245" s="68"/>
      <c r="O245" s="14"/>
    </row>
    <row r="246" spans="4:15" s="25" customFormat="1">
      <c r="D246" s="24"/>
      <c r="E246" s="24"/>
      <c r="F246" s="64"/>
      <c r="G246" s="64"/>
      <c r="H246" s="20"/>
      <c r="I246" s="12"/>
      <c r="J246" s="72"/>
      <c r="K246" s="20"/>
      <c r="L246" s="14"/>
      <c r="M246" s="68"/>
      <c r="N246" s="68"/>
      <c r="O246" s="14"/>
    </row>
    <row r="247" spans="4:15" s="25" customFormat="1">
      <c r="D247" s="24"/>
      <c r="E247" s="24"/>
      <c r="F247" s="64"/>
      <c r="G247" s="64"/>
      <c r="H247" s="20"/>
      <c r="I247" s="12"/>
      <c r="J247" s="72"/>
      <c r="K247" s="20"/>
      <c r="L247" s="14"/>
      <c r="M247" s="68"/>
      <c r="N247" s="68"/>
      <c r="O247" s="14"/>
    </row>
    <row r="248" spans="4:15" s="25" customFormat="1">
      <c r="D248" s="24"/>
      <c r="E248" s="24"/>
      <c r="F248" s="64"/>
      <c r="G248" s="64"/>
      <c r="H248" s="20"/>
      <c r="I248" s="12"/>
      <c r="J248" s="72"/>
      <c r="K248" s="20"/>
      <c r="L248" s="14"/>
      <c r="M248" s="68"/>
      <c r="N248" s="68"/>
      <c r="O248" s="14"/>
    </row>
    <row r="249" spans="4:15" s="25" customFormat="1">
      <c r="D249" s="24"/>
      <c r="E249" s="24"/>
      <c r="F249" s="64"/>
      <c r="G249" s="64"/>
      <c r="H249" s="20"/>
      <c r="I249" s="12"/>
      <c r="J249" s="72"/>
      <c r="K249" s="20"/>
      <c r="L249" s="14"/>
      <c r="M249" s="68"/>
      <c r="N249" s="68"/>
      <c r="O249" s="14"/>
    </row>
    <row r="250" spans="4:15" s="25" customFormat="1">
      <c r="D250" s="24"/>
      <c r="E250" s="24"/>
      <c r="F250" s="64"/>
      <c r="G250" s="64"/>
      <c r="H250" s="20"/>
      <c r="I250" s="12"/>
      <c r="J250" s="72"/>
      <c r="K250" s="20"/>
      <c r="L250" s="14"/>
      <c r="M250" s="68"/>
      <c r="N250" s="68"/>
      <c r="O250" s="14"/>
    </row>
    <row r="251" spans="4:15" s="25" customFormat="1">
      <c r="D251" s="24"/>
      <c r="E251" s="24"/>
      <c r="F251" s="64"/>
      <c r="G251" s="64"/>
      <c r="H251" s="20"/>
      <c r="I251" s="12"/>
      <c r="J251" s="72"/>
      <c r="K251" s="20"/>
      <c r="L251" s="14"/>
      <c r="M251" s="68"/>
      <c r="N251" s="68"/>
      <c r="O251" s="14"/>
    </row>
    <row r="252" spans="4:15" s="25" customFormat="1">
      <c r="D252" s="24"/>
      <c r="E252" s="24"/>
      <c r="F252" s="64"/>
      <c r="G252" s="64"/>
      <c r="H252" s="20"/>
      <c r="I252" s="12"/>
      <c r="J252" s="72"/>
      <c r="K252" s="20"/>
      <c r="L252" s="14"/>
      <c r="M252" s="68"/>
      <c r="N252" s="68"/>
      <c r="O252" s="14"/>
    </row>
    <row r="253" spans="4:15" s="25" customFormat="1">
      <c r="D253" s="24"/>
      <c r="E253" s="24"/>
      <c r="F253" s="64"/>
      <c r="G253" s="64"/>
      <c r="H253" s="20"/>
      <c r="I253" s="12"/>
      <c r="J253" s="72"/>
      <c r="K253" s="20"/>
      <c r="L253" s="14"/>
      <c r="M253" s="68"/>
      <c r="N253" s="68"/>
      <c r="O253" s="14"/>
    </row>
    <row r="254" spans="4:15" s="25" customFormat="1">
      <c r="D254" s="24"/>
      <c r="E254" s="24"/>
      <c r="F254" s="64"/>
      <c r="G254" s="64"/>
      <c r="H254" s="20"/>
      <c r="I254" s="12"/>
      <c r="J254" s="72"/>
      <c r="K254" s="20"/>
      <c r="L254" s="14"/>
      <c r="M254" s="68"/>
      <c r="N254" s="68"/>
      <c r="O254" s="14"/>
    </row>
    <row r="255" spans="4:15" s="25" customFormat="1">
      <c r="D255" s="24"/>
      <c r="E255" s="24"/>
      <c r="F255" s="64"/>
      <c r="G255" s="64"/>
      <c r="H255" s="20"/>
      <c r="I255" s="12"/>
      <c r="J255" s="72"/>
      <c r="K255" s="20"/>
      <c r="L255" s="14"/>
      <c r="M255" s="68"/>
      <c r="N255" s="68"/>
      <c r="O255" s="14"/>
    </row>
    <row r="256" spans="4:15" s="25" customFormat="1">
      <c r="D256" s="24"/>
      <c r="E256" s="24"/>
      <c r="F256" s="64"/>
      <c r="G256" s="64"/>
      <c r="H256" s="20"/>
      <c r="I256" s="12"/>
      <c r="J256" s="72"/>
      <c r="K256" s="20"/>
      <c r="L256" s="14"/>
      <c r="M256" s="68"/>
      <c r="N256" s="68"/>
      <c r="O256" s="14"/>
    </row>
    <row r="257" spans="4:15" s="25" customFormat="1">
      <c r="D257" s="24"/>
      <c r="E257" s="24"/>
      <c r="F257" s="64"/>
      <c r="G257" s="64"/>
      <c r="H257" s="20"/>
      <c r="I257" s="12"/>
      <c r="J257" s="72"/>
      <c r="K257" s="20"/>
      <c r="L257" s="14"/>
      <c r="M257" s="68"/>
      <c r="N257" s="68"/>
      <c r="O257" s="14"/>
    </row>
    <row r="258" spans="4:15" s="25" customFormat="1">
      <c r="D258" s="24"/>
      <c r="E258" s="24"/>
      <c r="F258" s="64"/>
      <c r="G258" s="64"/>
      <c r="H258" s="20"/>
      <c r="I258" s="12"/>
      <c r="J258" s="72"/>
      <c r="K258" s="20"/>
      <c r="L258" s="14"/>
      <c r="M258" s="68"/>
      <c r="N258" s="68"/>
      <c r="O258" s="14"/>
    </row>
    <row r="259" spans="4:15" s="25" customFormat="1">
      <c r="D259" s="24"/>
      <c r="E259" s="24"/>
      <c r="F259" s="64"/>
      <c r="G259" s="64"/>
      <c r="H259" s="20"/>
      <c r="I259" s="12"/>
      <c r="J259" s="72"/>
      <c r="K259" s="20"/>
      <c r="L259" s="14"/>
      <c r="M259" s="68"/>
      <c r="N259" s="68"/>
      <c r="O259" s="14"/>
    </row>
    <row r="260" spans="4:15" s="25" customFormat="1">
      <c r="D260" s="24"/>
      <c r="E260" s="24"/>
      <c r="F260" s="64"/>
      <c r="G260" s="64"/>
      <c r="H260" s="20"/>
      <c r="I260" s="12"/>
      <c r="J260" s="72"/>
      <c r="K260" s="20"/>
      <c r="L260" s="14"/>
      <c r="M260" s="68"/>
      <c r="N260" s="68"/>
      <c r="O260" s="14"/>
    </row>
    <row r="261" spans="4:15" s="25" customFormat="1">
      <c r="D261" s="24"/>
      <c r="E261" s="24"/>
      <c r="F261" s="64"/>
      <c r="G261" s="64"/>
      <c r="H261" s="20"/>
      <c r="I261" s="12"/>
      <c r="J261" s="72"/>
      <c r="K261" s="20"/>
      <c r="L261" s="14"/>
      <c r="M261" s="68"/>
      <c r="N261" s="68"/>
      <c r="O261" s="14"/>
    </row>
    <row r="262" spans="4:15" s="25" customFormat="1">
      <c r="D262" s="24"/>
      <c r="E262" s="24"/>
      <c r="F262" s="64"/>
      <c r="G262" s="64"/>
      <c r="H262" s="20"/>
      <c r="I262" s="12"/>
      <c r="J262" s="72"/>
      <c r="K262" s="20"/>
      <c r="L262" s="14"/>
      <c r="M262" s="68"/>
      <c r="N262" s="68"/>
      <c r="O262" s="14"/>
    </row>
    <row r="263" spans="4:15" s="25" customFormat="1">
      <c r="D263" s="24"/>
      <c r="E263" s="24"/>
      <c r="F263" s="64"/>
      <c r="G263" s="64"/>
      <c r="H263" s="20"/>
      <c r="I263" s="12"/>
      <c r="J263" s="72"/>
      <c r="K263" s="20"/>
      <c r="L263" s="14"/>
      <c r="M263" s="68"/>
      <c r="N263" s="68"/>
      <c r="O263" s="14"/>
    </row>
    <row r="264" spans="4:15" s="25" customFormat="1">
      <c r="D264" s="24"/>
      <c r="E264" s="24"/>
      <c r="F264" s="64"/>
      <c r="G264" s="64"/>
      <c r="H264" s="20"/>
      <c r="I264" s="12"/>
      <c r="J264" s="72"/>
      <c r="K264" s="20"/>
      <c r="L264" s="14"/>
      <c r="M264" s="68"/>
      <c r="N264" s="68"/>
      <c r="O264" s="14"/>
    </row>
    <row r="265" spans="4:15" s="25" customFormat="1">
      <c r="D265" s="24"/>
      <c r="E265" s="24"/>
      <c r="F265" s="64"/>
      <c r="G265" s="64"/>
      <c r="H265" s="20"/>
      <c r="I265" s="12"/>
      <c r="J265" s="72"/>
      <c r="K265" s="20"/>
      <c r="L265" s="14"/>
      <c r="M265" s="68"/>
      <c r="N265" s="68"/>
      <c r="O265" s="14"/>
    </row>
    <row r="266" spans="4:15" s="25" customFormat="1">
      <c r="D266" s="24"/>
      <c r="E266" s="24"/>
      <c r="F266" s="64"/>
      <c r="G266" s="64"/>
      <c r="H266" s="20"/>
      <c r="I266" s="12"/>
      <c r="J266" s="72"/>
      <c r="K266" s="20"/>
      <c r="L266" s="14"/>
      <c r="M266" s="68"/>
      <c r="N266" s="68"/>
      <c r="O266" s="14"/>
    </row>
    <row r="267" spans="4:15" s="25" customFormat="1">
      <c r="D267" s="24"/>
      <c r="E267" s="24"/>
      <c r="F267" s="64"/>
      <c r="G267" s="64"/>
      <c r="H267" s="20"/>
      <c r="I267" s="12"/>
      <c r="J267" s="72"/>
      <c r="K267" s="20"/>
      <c r="L267" s="14"/>
      <c r="M267" s="68"/>
      <c r="N267" s="68"/>
      <c r="O267" s="14"/>
    </row>
    <row r="268" spans="4:15" s="25" customFormat="1">
      <c r="D268" s="24"/>
      <c r="E268" s="24"/>
      <c r="F268" s="64"/>
      <c r="G268" s="64"/>
      <c r="H268" s="20"/>
      <c r="I268" s="12"/>
      <c r="J268" s="72"/>
      <c r="K268" s="20"/>
      <c r="L268" s="14"/>
      <c r="M268" s="68"/>
      <c r="N268" s="68"/>
      <c r="O268" s="14"/>
    </row>
    <row r="269" spans="4:15" s="25" customFormat="1">
      <c r="D269" s="24"/>
      <c r="E269" s="24"/>
      <c r="F269" s="64"/>
      <c r="G269" s="64"/>
      <c r="H269" s="20"/>
      <c r="I269" s="12"/>
      <c r="J269" s="72"/>
      <c r="K269" s="20"/>
      <c r="L269" s="14"/>
      <c r="M269" s="68"/>
      <c r="N269" s="68"/>
      <c r="O269" s="14"/>
    </row>
    <row r="270" spans="4:15" s="25" customFormat="1">
      <c r="D270" s="24"/>
      <c r="E270" s="24"/>
      <c r="F270" s="64"/>
      <c r="G270" s="64"/>
      <c r="H270" s="20"/>
      <c r="I270" s="12"/>
      <c r="J270" s="72"/>
      <c r="K270" s="20"/>
      <c r="L270" s="14"/>
      <c r="M270" s="68"/>
      <c r="N270" s="68"/>
      <c r="O270" s="14"/>
    </row>
    <row r="271" spans="4:15" s="25" customFormat="1">
      <c r="D271" s="24"/>
      <c r="E271" s="24"/>
      <c r="F271" s="64"/>
      <c r="G271" s="64"/>
      <c r="H271" s="20"/>
      <c r="I271" s="12"/>
      <c r="J271" s="72"/>
      <c r="K271" s="20"/>
      <c r="L271" s="14"/>
      <c r="M271" s="68"/>
      <c r="N271" s="68"/>
      <c r="O271" s="14"/>
    </row>
    <row r="272" spans="4:15" s="25" customFormat="1">
      <c r="D272" s="24"/>
      <c r="E272" s="24"/>
      <c r="F272" s="64"/>
      <c r="G272" s="64"/>
      <c r="H272" s="20"/>
      <c r="I272" s="12"/>
      <c r="J272" s="72"/>
      <c r="K272" s="20"/>
      <c r="L272" s="14"/>
      <c r="M272" s="68"/>
      <c r="N272" s="68"/>
      <c r="O272" s="14"/>
    </row>
    <row r="273" spans="4:15" s="25" customFormat="1">
      <c r="D273" s="24"/>
      <c r="E273" s="24"/>
      <c r="F273" s="64"/>
      <c r="G273" s="64"/>
      <c r="H273" s="20"/>
      <c r="I273" s="12"/>
      <c r="J273" s="72"/>
      <c r="K273" s="20"/>
      <c r="L273" s="14"/>
      <c r="M273" s="68"/>
      <c r="N273" s="68"/>
      <c r="O273" s="14"/>
    </row>
    <row r="274" spans="4:15" s="25" customFormat="1">
      <c r="D274" s="24"/>
      <c r="E274" s="24"/>
      <c r="F274" s="64"/>
      <c r="G274" s="64"/>
      <c r="H274" s="20"/>
      <c r="I274" s="12"/>
      <c r="J274" s="72"/>
      <c r="K274" s="20"/>
      <c r="L274" s="14"/>
      <c r="M274" s="68"/>
      <c r="N274" s="68"/>
      <c r="O274" s="14"/>
    </row>
    <row r="275" spans="4:15" s="25" customFormat="1">
      <c r="D275" s="24"/>
      <c r="E275" s="24"/>
      <c r="F275" s="64"/>
      <c r="G275" s="64"/>
      <c r="H275" s="20"/>
      <c r="I275" s="12"/>
      <c r="J275" s="72"/>
      <c r="K275" s="20"/>
      <c r="L275" s="14"/>
      <c r="M275" s="68"/>
      <c r="N275" s="68"/>
      <c r="O275" s="14"/>
    </row>
    <row r="276" spans="4:15" s="25" customFormat="1">
      <c r="D276" s="24"/>
      <c r="E276" s="24"/>
      <c r="F276" s="64"/>
      <c r="G276" s="64"/>
      <c r="H276" s="20"/>
      <c r="I276" s="12"/>
      <c r="J276" s="72"/>
      <c r="K276" s="20"/>
      <c r="L276" s="14"/>
      <c r="M276" s="68"/>
      <c r="N276" s="68"/>
      <c r="O276" s="14"/>
    </row>
    <row r="277" spans="4:15" s="25" customFormat="1">
      <c r="D277" s="24"/>
      <c r="E277" s="24"/>
      <c r="F277" s="64"/>
      <c r="G277" s="64"/>
      <c r="H277" s="20"/>
      <c r="I277" s="12"/>
      <c r="J277" s="72"/>
      <c r="K277" s="20"/>
      <c r="L277" s="14"/>
      <c r="M277" s="68"/>
      <c r="N277" s="68"/>
      <c r="O277" s="14"/>
    </row>
    <row r="278" spans="4:15" s="25" customFormat="1">
      <c r="D278" s="24"/>
      <c r="E278" s="24"/>
      <c r="F278" s="64"/>
      <c r="G278" s="64"/>
      <c r="H278" s="20"/>
      <c r="I278" s="12"/>
      <c r="J278" s="72"/>
      <c r="K278" s="20"/>
      <c r="L278" s="14"/>
      <c r="M278" s="68"/>
      <c r="N278" s="68"/>
      <c r="O278" s="14"/>
    </row>
    <row r="279" spans="4:15" s="25" customFormat="1">
      <c r="D279" s="24"/>
      <c r="E279" s="24"/>
      <c r="F279" s="64"/>
      <c r="G279" s="64"/>
      <c r="H279" s="20"/>
      <c r="I279" s="12"/>
      <c r="J279" s="72"/>
      <c r="K279" s="20"/>
      <c r="L279" s="14"/>
      <c r="M279" s="68"/>
      <c r="N279" s="68"/>
      <c r="O279" s="14"/>
    </row>
    <row r="280" spans="4:15" s="25" customFormat="1">
      <c r="D280" s="24"/>
      <c r="E280" s="24"/>
      <c r="F280" s="64"/>
      <c r="G280" s="64"/>
      <c r="H280" s="20"/>
      <c r="I280" s="12"/>
      <c r="J280" s="72"/>
      <c r="K280" s="20"/>
      <c r="L280" s="14"/>
      <c r="M280" s="68"/>
      <c r="N280" s="68"/>
      <c r="O280" s="14"/>
    </row>
    <row r="281" spans="4:15" s="25" customFormat="1">
      <c r="D281" s="24"/>
      <c r="E281" s="24"/>
      <c r="F281" s="64"/>
      <c r="G281" s="64"/>
      <c r="H281" s="20"/>
      <c r="I281" s="12"/>
      <c r="J281" s="72"/>
      <c r="K281" s="20"/>
      <c r="L281" s="14"/>
      <c r="M281" s="68"/>
      <c r="N281" s="68"/>
      <c r="O281" s="14"/>
    </row>
    <row r="282" spans="4:15" s="25" customFormat="1">
      <c r="D282" s="24"/>
      <c r="E282" s="24"/>
      <c r="F282" s="64"/>
      <c r="G282" s="64"/>
      <c r="H282" s="20"/>
      <c r="I282" s="12"/>
      <c r="J282" s="72"/>
      <c r="K282" s="20"/>
      <c r="L282" s="14"/>
      <c r="M282" s="68"/>
      <c r="N282" s="68"/>
      <c r="O282" s="14"/>
    </row>
    <row r="283" spans="4:15" s="25" customFormat="1">
      <c r="D283" s="24"/>
      <c r="E283" s="24"/>
      <c r="F283" s="64"/>
      <c r="G283" s="64"/>
      <c r="H283" s="20"/>
      <c r="I283" s="12"/>
      <c r="J283" s="72"/>
      <c r="K283" s="20"/>
      <c r="L283" s="14"/>
      <c r="M283" s="68"/>
      <c r="N283" s="68"/>
      <c r="O283" s="14"/>
    </row>
    <row r="284" spans="4:15" s="25" customFormat="1">
      <c r="D284" s="24"/>
      <c r="E284" s="24"/>
      <c r="F284" s="64"/>
      <c r="G284" s="64"/>
      <c r="H284" s="20"/>
      <c r="I284" s="12"/>
      <c r="J284" s="72"/>
      <c r="K284" s="20"/>
      <c r="L284" s="14"/>
      <c r="M284" s="68"/>
      <c r="N284" s="68"/>
      <c r="O284" s="14"/>
    </row>
    <row r="285" spans="4:15" s="25" customFormat="1">
      <c r="D285" s="24"/>
      <c r="E285" s="24"/>
      <c r="F285" s="64"/>
      <c r="G285" s="64"/>
      <c r="H285" s="20"/>
      <c r="I285" s="12"/>
      <c r="J285" s="72"/>
      <c r="K285" s="20"/>
      <c r="L285" s="14"/>
      <c r="M285" s="68"/>
      <c r="N285" s="68"/>
      <c r="O285" s="14"/>
    </row>
    <row r="286" spans="4:15" s="25" customFormat="1">
      <c r="D286" s="24"/>
      <c r="E286" s="24"/>
      <c r="F286" s="64"/>
      <c r="G286" s="64"/>
      <c r="H286" s="20"/>
      <c r="I286" s="12"/>
      <c r="J286" s="72"/>
      <c r="K286" s="20"/>
      <c r="L286" s="14"/>
      <c r="M286" s="68"/>
      <c r="N286" s="68"/>
      <c r="O286" s="14"/>
    </row>
    <row r="287" spans="4:15" s="25" customFormat="1">
      <c r="D287" s="24"/>
      <c r="E287" s="24"/>
      <c r="F287" s="64"/>
      <c r="G287" s="64"/>
      <c r="H287" s="20"/>
      <c r="I287" s="12"/>
      <c r="J287" s="72"/>
      <c r="K287" s="20"/>
      <c r="L287" s="14"/>
      <c r="M287" s="68"/>
      <c r="N287" s="68"/>
      <c r="O287" s="14"/>
    </row>
    <row r="288" spans="4:15" s="25" customFormat="1">
      <c r="D288" s="24"/>
      <c r="E288" s="24"/>
      <c r="F288" s="64"/>
      <c r="G288" s="64"/>
      <c r="H288" s="20"/>
      <c r="I288" s="12"/>
      <c r="J288" s="72"/>
      <c r="K288" s="20"/>
      <c r="L288" s="14"/>
      <c r="M288" s="68"/>
      <c r="N288" s="68"/>
      <c r="O288" s="14"/>
    </row>
    <row r="289" spans="4:15" s="25" customFormat="1">
      <c r="D289" s="24"/>
      <c r="E289" s="24"/>
      <c r="F289" s="64"/>
      <c r="G289" s="64"/>
      <c r="H289" s="20"/>
      <c r="I289" s="12"/>
      <c r="J289" s="72"/>
      <c r="K289" s="20"/>
      <c r="L289" s="14"/>
      <c r="M289" s="68"/>
      <c r="N289" s="68"/>
      <c r="O289" s="14"/>
    </row>
    <row r="290" spans="4:15" s="25" customFormat="1">
      <c r="D290" s="24"/>
      <c r="E290" s="24"/>
      <c r="F290" s="64"/>
      <c r="G290" s="64"/>
      <c r="H290" s="20"/>
      <c r="I290" s="12"/>
      <c r="J290" s="72"/>
      <c r="K290" s="20"/>
      <c r="L290" s="14"/>
      <c r="M290" s="68"/>
      <c r="N290" s="68"/>
      <c r="O290" s="14"/>
    </row>
    <row r="291" spans="4:15" s="25" customFormat="1">
      <c r="D291" s="24"/>
      <c r="E291" s="24"/>
      <c r="F291" s="64"/>
      <c r="G291" s="64"/>
      <c r="H291" s="20"/>
      <c r="I291" s="12"/>
      <c r="J291" s="72"/>
      <c r="K291" s="20"/>
      <c r="L291" s="14"/>
      <c r="M291" s="68"/>
      <c r="N291" s="68"/>
      <c r="O291" s="14"/>
    </row>
    <row r="292" spans="4:15" s="25" customFormat="1">
      <c r="D292" s="24"/>
      <c r="E292" s="24"/>
      <c r="F292" s="64"/>
      <c r="G292" s="64"/>
      <c r="H292" s="20"/>
      <c r="I292" s="12"/>
      <c r="J292" s="72"/>
      <c r="K292" s="20"/>
      <c r="L292" s="14"/>
      <c r="M292" s="68"/>
      <c r="N292" s="68"/>
      <c r="O292" s="14"/>
    </row>
    <row r="293" spans="4:15" s="25" customFormat="1">
      <c r="D293" s="24"/>
      <c r="E293" s="24"/>
      <c r="F293" s="64"/>
      <c r="G293" s="64"/>
      <c r="H293" s="20"/>
      <c r="I293" s="12"/>
      <c r="J293" s="72"/>
      <c r="K293" s="20"/>
      <c r="L293" s="14"/>
      <c r="M293" s="68"/>
      <c r="N293" s="68"/>
      <c r="O293" s="14"/>
    </row>
    <row r="294" spans="4:15" s="25" customFormat="1">
      <c r="D294" s="24"/>
      <c r="E294" s="24"/>
      <c r="F294" s="64"/>
      <c r="G294" s="64"/>
      <c r="H294" s="20"/>
      <c r="I294" s="12"/>
      <c r="J294" s="72"/>
      <c r="K294" s="20"/>
      <c r="L294" s="14"/>
      <c r="M294" s="68"/>
      <c r="N294" s="68"/>
      <c r="O294" s="14"/>
    </row>
    <row r="295" spans="4:15" s="25" customFormat="1">
      <c r="D295" s="24"/>
      <c r="E295" s="24"/>
      <c r="F295" s="64"/>
      <c r="G295" s="64"/>
      <c r="H295" s="20"/>
      <c r="I295" s="12"/>
      <c r="J295" s="72"/>
      <c r="K295" s="20"/>
      <c r="L295" s="14"/>
      <c r="M295" s="68"/>
      <c r="N295" s="68"/>
      <c r="O295" s="14"/>
    </row>
    <row r="296" spans="4:15" s="25" customFormat="1">
      <c r="D296" s="24"/>
      <c r="E296" s="24"/>
      <c r="F296" s="64"/>
      <c r="G296" s="64"/>
      <c r="H296" s="20"/>
      <c r="I296" s="12"/>
      <c r="J296" s="72"/>
      <c r="K296" s="20"/>
      <c r="L296" s="14"/>
      <c r="M296" s="68"/>
      <c r="N296" s="68"/>
      <c r="O296" s="14"/>
    </row>
    <row r="297" spans="4:15" s="25" customFormat="1">
      <c r="D297" s="24"/>
      <c r="E297" s="24"/>
      <c r="F297" s="64"/>
      <c r="G297" s="64"/>
      <c r="H297" s="20"/>
      <c r="I297" s="12"/>
      <c r="J297" s="72"/>
      <c r="K297" s="20"/>
      <c r="L297" s="14"/>
      <c r="M297" s="68"/>
      <c r="N297" s="68"/>
      <c r="O297" s="14"/>
    </row>
    <row r="298" spans="4:15" s="25" customFormat="1">
      <c r="D298" s="24"/>
      <c r="E298" s="24"/>
      <c r="F298" s="64"/>
      <c r="G298" s="64"/>
      <c r="H298" s="20"/>
      <c r="I298" s="12"/>
      <c r="J298" s="72"/>
      <c r="K298" s="20"/>
      <c r="L298" s="14"/>
      <c r="M298" s="68"/>
      <c r="N298" s="68"/>
      <c r="O298" s="14"/>
    </row>
    <row r="299" spans="4:15" s="25" customFormat="1">
      <c r="D299" s="24"/>
      <c r="E299" s="24"/>
      <c r="F299" s="64"/>
      <c r="G299" s="64"/>
      <c r="H299" s="20"/>
      <c r="I299" s="12"/>
      <c r="J299" s="72"/>
      <c r="K299" s="20"/>
      <c r="L299" s="14"/>
      <c r="M299" s="68"/>
      <c r="N299" s="68"/>
      <c r="O299" s="14"/>
    </row>
    <row r="300" spans="4:15" s="25" customFormat="1">
      <c r="D300" s="24"/>
      <c r="E300" s="24"/>
      <c r="F300" s="64"/>
      <c r="G300" s="64"/>
      <c r="H300" s="20"/>
      <c r="I300" s="12"/>
      <c r="J300" s="72"/>
      <c r="K300" s="20"/>
      <c r="L300" s="14"/>
      <c r="M300" s="68"/>
      <c r="N300" s="68"/>
      <c r="O300" s="14"/>
    </row>
    <row r="301" spans="4:15" s="25" customFormat="1">
      <c r="D301" s="24"/>
      <c r="E301" s="24"/>
      <c r="F301" s="64"/>
      <c r="G301" s="64"/>
      <c r="H301" s="20"/>
      <c r="I301" s="12"/>
      <c r="J301" s="72"/>
      <c r="K301" s="20"/>
      <c r="L301" s="14"/>
      <c r="M301" s="68"/>
      <c r="N301" s="68"/>
      <c r="O301" s="14"/>
    </row>
    <row r="302" spans="4:15" s="25" customFormat="1">
      <c r="D302" s="24"/>
      <c r="E302" s="24"/>
      <c r="F302" s="64"/>
      <c r="G302" s="64"/>
      <c r="H302" s="20"/>
      <c r="I302" s="12"/>
      <c r="J302" s="72"/>
      <c r="K302" s="20"/>
      <c r="L302" s="14"/>
      <c r="M302" s="68"/>
      <c r="N302" s="68"/>
      <c r="O302" s="14"/>
    </row>
    <row r="303" spans="4:15" s="25" customFormat="1">
      <c r="D303" s="24"/>
      <c r="E303" s="24"/>
      <c r="F303" s="64"/>
      <c r="G303" s="64"/>
      <c r="H303" s="20"/>
      <c r="I303" s="12"/>
      <c r="J303" s="72"/>
      <c r="K303" s="20"/>
      <c r="L303" s="14"/>
      <c r="M303" s="68"/>
      <c r="N303" s="68"/>
      <c r="O303" s="14"/>
    </row>
    <row r="304" spans="4:15" s="25" customFormat="1">
      <c r="D304" s="24"/>
      <c r="E304" s="24"/>
      <c r="F304" s="64"/>
      <c r="G304" s="64"/>
      <c r="H304" s="20"/>
      <c r="I304" s="12"/>
      <c r="J304" s="72"/>
      <c r="K304" s="20"/>
      <c r="L304" s="14"/>
      <c r="M304" s="68"/>
      <c r="N304" s="68"/>
      <c r="O304" s="14"/>
    </row>
    <row r="305" spans="4:15" s="25" customFormat="1">
      <c r="D305" s="24"/>
      <c r="E305" s="24"/>
      <c r="F305" s="64"/>
      <c r="G305" s="64"/>
      <c r="H305" s="20"/>
      <c r="I305" s="12"/>
      <c r="J305" s="72"/>
      <c r="K305" s="20"/>
      <c r="L305" s="14"/>
      <c r="M305" s="68"/>
      <c r="N305" s="68"/>
      <c r="O305" s="14"/>
    </row>
    <row r="306" spans="4:15" s="25" customFormat="1">
      <c r="D306" s="24"/>
      <c r="E306" s="24"/>
      <c r="F306" s="64"/>
      <c r="G306" s="64"/>
      <c r="H306" s="20"/>
      <c r="I306" s="12"/>
      <c r="J306" s="72"/>
      <c r="K306" s="20"/>
      <c r="L306" s="14"/>
      <c r="M306" s="68"/>
      <c r="N306" s="68"/>
      <c r="O306" s="14"/>
    </row>
    <row r="307" spans="4:15" s="25" customFormat="1">
      <c r="D307" s="24"/>
      <c r="E307" s="24"/>
      <c r="F307" s="64"/>
      <c r="G307" s="64"/>
      <c r="H307" s="20"/>
      <c r="I307" s="12"/>
      <c r="J307" s="72"/>
      <c r="K307" s="20"/>
      <c r="L307" s="14"/>
      <c r="M307" s="68"/>
      <c r="N307" s="68"/>
      <c r="O307" s="14"/>
    </row>
    <row r="308" spans="4:15" s="25" customFormat="1">
      <c r="D308" s="24"/>
      <c r="E308" s="24"/>
      <c r="F308" s="64"/>
      <c r="G308" s="64"/>
      <c r="H308" s="20"/>
      <c r="I308" s="12"/>
      <c r="J308" s="72"/>
      <c r="K308" s="20"/>
      <c r="L308" s="14"/>
      <c r="M308" s="68"/>
      <c r="N308" s="68"/>
      <c r="O308" s="14"/>
    </row>
    <row r="309" spans="4:15" s="25" customFormat="1">
      <c r="D309" s="24"/>
      <c r="E309" s="24"/>
      <c r="F309" s="64"/>
      <c r="G309" s="64"/>
      <c r="H309" s="20"/>
      <c r="I309" s="12"/>
      <c r="J309" s="72"/>
      <c r="K309" s="20"/>
      <c r="L309" s="14"/>
      <c r="M309" s="68"/>
      <c r="N309" s="68"/>
      <c r="O309" s="14"/>
    </row>
    <row r="310" spans="4:15" s="25" customFormat="1">
      <c r="D310" s="24"/>
      <c r="E310" s="24"/>
      <c r="F310" s="64"/>
      <c r="G310" s="64"/>
      <c r="H310" s="20"/>
      <c r="I310" s="12"/>
      <c r="J310" s="72"/>
      <c r="K310" s="20"/>
      <c r="L310" s="14"/>
      <c r="M310" s="68"/>
      <c r="N310" s="68"/>
      <c r="O310" s="14"/>
    </row>
    <row r="311" spans="4:15" s="25" customFormat="1">
      <c r="D311" s="24"/>
      <c r="E311" s="24"/>
      <c r="F311" s="64"/>
      <c r="G311" s="64"/>
      <c r="H311" s="20"/>
      <c r="I311" s="12"/>
      <c r="J311" s="72"/>
      <c r="K311" s="20"/>
      <c r="L311" s="14"/>
      <c r="M311" s="68"/>
      <c r="N311" s="68"/>
      <c r="O311" s="14"/>
    </row>
    <row r="312" spans="4:15" s="25" customFormat="1">
      <c r="D312" s="24"/>
      <c r="E312" s="24"/>
      <c r="F312" s="64"/>
      <c r="G312" s="64"/>
      <c r="H312" s="20"/>
      <c r="I312" s="12"/>
      <c r="J312" s="72"/>
      <c r="K312" s="20"/>
      <c r="L312" s="14"/>
      <c r="M312" s="68"/>
      <c r="N312" s="68"/>
      <c r="O312" s="14"/>
    </row>
    <row r="313" spans="4:15" s="25" customFormat="1">
      <c r="D313" s="24"/>
      <c r="E313" s="24"/>
      <c r="F313" s="64"/>
      <c r="G313" s="64"/>
      <c r="H313" s="20"/>
      <c r="I313" s="12"/>
      <c r="J313" s="72"/>
      <c r="K313" s="20"/>
      <c r="L313" s="14"/>
      <c r="M313" s="68"/>
      <c r="N313" s="68"/>
      <c r="O313" s="14"/>
    </row>
    <row r="314" spans="4:15" s="25" customFormat="1">
      <c r="D314" s="24"/>
      <c r="E314" s="24"/>
      <c r="F314" s="64"/>
      <c r="G314" s="64"/>
      <c r="H314" s="20"/>
      <c r="I314" s="12"/>
      <c r="J314" s="72"/>
      <c r="K314" s="20"/>
      <c r="L314" s="14"/>
      <c r="M314" s="68"/>
      <c r="N314" s="68"/>
      <c r="O314" s="14"/>
    </row>
    <row r="315" spans="4:15" s="25" customFormat="1">
      <c r="D315" s="24"/>
      <c r="E315" s="24"/>
      <c r="F315" s="64"/>
      <c r="G315" s="64"/>
      <c r="H315" s="20"/>
      <c r="I315" s="12"/>
      <c r="J315" s="72"/>
      <c r="K315" s="20"/>
      <c r="L315" s="14"/>
      <c r="M315" s="68"/>
      <c r="N315" s="68"/>
      <c r="O315" s="14"/>
    </row>
    <row r="316" spans="4:15" s="25" customFormat="1">
      <c r="D316" s="24"/>
      <c r="E316" s="24"/>
      <c r="F316" s="64"/>
      <c r="G316" s="64"/>
      <c r="H316" s="20"/>
      <c r="I316" s="12"/>
      <c r="J316" s="72"/>
      <c r="K316" s="20"/>
      <c r="L316" s="14"/>
      <c r="M316" s="68"/>
      <c r="N316" s="68"/>
      <c r="O316" s="14"/>
    </row>
    <row r="317" spans="4:15" s="25" customFormat="1">
      <c r="D317" s="24"/>
      <c r="E317" s="24"/>
      <c r="F317" s="64"/>
      <c r="G317" s="64"/>
      <c r="H317" s="20"/>
      <c r="I317" s="12"/>
      <c r="J317" s="72"/>
      <c r="K317" s="20"/>
      <c r="L317" s="14"/>
      <c r="M317" s="68"/>
      <c r="N317" s="68"/>
      <c r="O317" s="14"/>
    </row>
    <row r="318" spans="4:15" s="25" customFormat="1">
      <c r="D318" s="24"/>
      <c r="E318" s="24"/>
      <c r="F318" s="64"/>
      <c r="G318" s="64"/>
      <c r="H318" s="20"/>
      <c r="I318" s="12"/>
      <c r="J318" s="72"/>
      <c r="K318" s="20"/>
      <c r="L318" s="14"/>
      <c r="M318" s="68"/>
      <c r="N318" s="68"/>
      <c r="O318" s="14"/>
    </row>
    <row r="319" spans="4:15" s="25" customFormat="1">
      <c r="D319" s="24"/>
      <c r="E319" s="24"/>
      <c r="F319" s="64"/>
      <c r="G319" s="64"/>
      <c r="H319" s="20"/>
      <c r="I319" s="12"/>
      <c r="J319" s="72"/>
      <c r="K319" s="20"/>
      <c r="L319" s="14"/>
      <c r="M319" s="68"/>
      <c r="N319" s="68"/>
      <c r="O319" s="14"/>
    </row>
    <row r="320" spans="4:15" s="25" customFormat="1">
      <c r="D320" s="24"/>
      <c r="E320" s="24"/>
      <c r="F320" s="64"/>
      <c r="G320" s="64"/>
      <c r="H320" s="20"/>
      <c r="I320" s="12"/>
      <c r="J320" s="72"/>
      <c r="K320" s="20"/>
      <c r="L320" s="14"/>
      <c r="M320" s="68"/>
      <c r="N320" s="68"/>
      <c r="O320" s="14"/>
    </row>
    <row r="321" spans="4:15" s="25" customFormat="1">
      <c r="D321" s="24"/>
      <c r="E321" s="24"/>
      <c r="F321" s="64"/>
      <c r="G321" s="64"/>
      <c r="H321" s="20"/>
      <c r="I321" s="12"/>
      <c r="J321" s="72"/>
      <c r="K321" s="20"/>
      <c r="L321" s="14"/>
      <c r="M321" s="68"/>
      <c r="N321" s="68"/>
      <c r="O321" s="14"/>
    </row>
    <row r="322" spans="4:15" s="25" customFormat="1">
      <c r="D322" s="24"/>
      <c r="E322" s="24"/>
      <c r="F322" s="64"/>
      <c r="G322" s="64"/>
      <c r="H322" s="20"/>
      <c r="I322" s="12"/>
      <c r="J322" s="72"/>
      <c r="K322" s="20"/>
      <c r="L322" s="14"/>
      <c r="M322" s="68"/>
      <c r="N322" s="68"/>
      <c r="O322" s="14"/>
    </row>
    <row r="323" spans="4:15" s="25" customFormat="1">
      <c r="D323" s="24"/>
      <c r="E323" s="24"/>
      <c r="F323" s="64"/>
      <c r="G323" s="64"/>
      <c r="H323" s="20"/>
      <c r="I323" s="12"/>
      <c r="J323" s="72"/>
      <c r="K323" s="20"/>
      <c r="L323" s="14"/>
      <c r="M323" s="68"/>
      <c r="N323" s="68"/>
      <c r="O323" s="14"/>
    </row>
    <row r="324" spans="4:15" s="25" customFormat="1">
      <c r="D324" s="24"/>
      <c r="E324" s="24"/>
      <c r="F324" s="64"/>
      <c r="G324" s="64"/>
      <c r="H324" s="20"/>
      <c r="I324" s="12"/>
      <c r="J324" s="72"/>
      <c r="K324" s="20"/>
      <c r="L324" s="14"/>
      <c r="M324" s="68"/>
      <c r="N324" s="68"/>
      <c r="O324" s="14"/>
    </row>
    <row r="325" spans="4:15" s="25" customFormat="1">
      <c r="D325" s="24"/>
      <c r="E325" s="24"/>
      <c r="F325" s="64"/>
      <c r="G325" s="64"/>
      <c r="H325" s="20"/>
      <c r="I325" s="12"/>
      <c r="J325" s="72"/>
      <c r="K325" s="20"/>
      <c r="L325" s="14"/>
      <c r="M325" s="68"/>
      <c r="N325" s="68"/>
      <c r="O325" s="14"/>
    </row>
    <row r="326" spans="4:15" s="25" customFormat="1">
      <c r="D326" s="24"/>
      <c r="E326" s="24"/>
      <c r="F326" s="64"/>
      <c r="G326" s="64"/>
      <c r="H326" s="20"/>
      <c r="I326" s="12"/>
      <c r="J326" s="72"/>
      <c r="K326" s="20"/>
      <c r="L326" s="14"/>
      <c r="M326" s="68"/>
      <c r="N326" s="68"/>
      <c r="O326" s="14"/>
    </row>
    <row r="327" spans="4:15" s="25" customFormat="1">
      <c r="D327" s="24"/>
      <c r="E327" s="24"/>
      <c r="F327" s="64"/>
      <c r="G327" s="64"/>
      <c r="H327" s="20"/>
      <c r="I327" s="12"/>
      <c r="J327" s="72"/>
      <c r="K327" s="20"/>
      <c r="L327" s="14"/>
      <c r="M327" s="68"/>
      <c r="N327" s="68"/>
      <c r="O327" s="14"/>
    </row>
    <row r="328" spans="4:15" s="25" customFormat="1">
      <c r="D328" s="24"/>
      <c r="E328" s="24"/>
      <c r="F328" s="64"/>
      <c r="G328" s="64"/>
      <c r="H328" s="20"/>
      <c r="I328" s="12"/>
      <c r="J328" s="72"/>
      <c r="K328" s="20"/>
      <c r="L328" s="14"/>
      <c r="M328" s="68"/>
      <c r="N328" s="68"/>
      <c r="O328" s="14"/>
    </row>
    <row r="329" spans="4:15" s="25" customFormat="1">
      <c r="D329" s="24"/>
      <c r="E329" s="24"/>
      <c r="F329" s="64"/>
      <c r="G329" s="64"/>
      <c r="H329" s="20"/>
      <c r="I329" s="12"/>
      <c r="J329" s="72"/>
      <c r="K329" s="20"/>
      <c r="L329" s="14"/>
      <c r="M329" s="68"/>
      <c r="N329" s="68"/>
      <c r="O329" s="14"/>
    </row>
    <row r="330" spans="4:15" s="25" customFormat="1">
      <c r="D330" s="24"/>
      <c r="E330" s="24"/>
      <c r="F330" s="64"/>
      <c r="G330" s="64"/>
      <c r="H330" s="20"/>
      <c r="I330" s="12"/>
      <c r="J330" s="72"/>
      <c r="K330" s="20"/>
      <c r="L330" s="14"/>
      <c r="M330" s="68"/>
      <c r="N330" s="68"/>
      <c r="O330" s="14"/>
    </row>
    <row r="331" spans="4:15" s="25" customFormat="1">
      <c r="D331" s="24"/>
      <c r="E331" s="24"/>
      <c r="F331" s="64"/>
      <c r="G331" s="64"/>
      <c r="H331" s="20"/>
      <c r="I331" s="12"/>
      <c r="J331" s="72"/>
      <c r="K331" s="20"/>
      <c r="L331" s="14"/>
      <c r="M331" s="68"/>
      <c r="N331" s="68"/>
      <c r="O331" s="14"/>
    </row>
    <row r="332" spans="4:15" s="25" customFormat="1">
      <c r="D332" s="24"/>
      <c r="E332" s="24"/>
      <c r="F332" s="64"/>
      <c r="G332" s="64"/>
      <c r="H332" s="20"/>
      <c r="I332" s="12"/>
      <c r="J332" s="72"/>
      <c r="K332" s="20"/>
      <c r="L332" s="14"/>
      <c r="M332" s="68"/>
      <c r="N332" s="68"/>
      <c r="O332" s="14"/>
    </row>
    <row r="333" spans="4:15" s="25" customFormat="1">
      <c r="D333" s="24"/>
      <c r="E333" s="24"/>
      <c r="F333" s="64"/>
      <c r="G333" s="64"/>
      <c r="H333" s="20"/>
      <c r="I333" s="12"/>
      <c r="J333" s="72"/>
      <c r="K333" s="20"/>
      <c r="L333" s="14"/>
      <c r="M333" s="68"/>
      <c r="N333" s="68"/>
      <c r="O333" s="14"/>
    </row>
    <row r="334" spans="4:15" s="25" customFormat="1">
      <c r="D334" s="24"/>
      <c r="E334" s="24"/>
      <c r="F334" s="64"/>
      <c r="G334" s="64"/>
      <c r="H334" s="20"/>
      <c r="I334" s="12"/>
      <c r="J334" s="72"/>
      <c r="K334" s="20"/>
      <c r="L334" s="14"/>
      <c r="M334" s="68"/>
      <c r="N334" s="68"/>
      <c r="O334" s="14"/>
    </row>
    <row r="335" spans="4:15" s="25" customFormat="1">
      <c r="D335" s="24"/>
      <c r="E335" s="24"/>
      <c r="F335" s="64"/>
      <c r="G335" s="64"/>
      <c r="H335" s="20"/>
      <c r="I335" s="12"/>
      <c r="J335" s="72"/>
      <c r="K335" s="20"/>
      <c r="L335" s="14"/>
      <c r="M335" s="68"/>
      <c r="N335" s="68"/>
      <c r="O335" s="14"/>
    </row>
    <row r="336" spans="4:15" s="25" customFormat="1">
      <c r="D336" s="24"/>
      <c r="E336" s="24"/>
      <c r="F336" s="64"/>
      <c r="G336" s="64"/>
      <c r="H336" s="20"/>
      <c r="I336" s="12"/>
      <c r="J336" s="72"/>
      <c r="K336" s="20"/>
      <c r="L336" s="14"/>
      <c r="M336" s="68"/>
      <c r="N336" s="68"/>
      <c r="O336" s="14"/>
    </row>
    <row r="337" spans="4:15" s="25" customFormat="1">
      <c r="D337" s="24"/>
      <c r="E337" s="24"/>
      <c r="F337" s="64"/>
      <c r="G337" s="64"/>
      <c r="H337" s="20"/>
      <c r="I337" s="12"/>
      <c r="J337" s="72"/>
      <c r="K337" s="20"/>
      <c r="L337" s="14"/>
      <c r="M337" s="68"/>
      <c r="N337" s="68"/>
      <c r="O337" s="14"/>
    </row>
    <row r="338" spans="4:15" s="25" customFormat="1">
      <c r="D338" s="24"/>
      <c r="E338" s="24"/>
      <c r="F338" s="64"/>
      <c r="G338" s="64"/>
      <c r="H338" s="20"/>
      <c r="I338" s="12"/>
      <c r="J338" s="72"/>
      <c r="K338" s="20"/>
      <c r="L338" s="14"/>
      <c r="M338" s="68"/>
      <c r="N338" s="68"/>
      <c r="O338" s="14"/>
    </row>
    <row r="339" spans="4:15" s="25" customFormat="1">
      <c r="D339" s="24"/>
      <c r="E339" s="24"/>
      <c r="F339" s="64"/>
      <c r="G339" s="64"/>
      <c r="H339" s="20"/>
      <c r="I339" s="12"/>
      <c r="J339" s="72"/>
      <c r="K339" s="20"/>
      <c r="L339" s="14"/>
      <c r="M339" s="68"/>
      <c r="N339" s="68"/>
      <c r="O339" s="14"/>
    </row>
    <row r="340" spans="4:15" s="25" customFormat="1">
      <c r="D340" s="24"/>
      <c r="E340" s="24"/>
      <c r="F340" s="64"/>
      <c r="G340" s="64"/>
      <c r="H340" s="20"/>
      <c r="I340" s="12"/>
      <c r="J340" s="72"/>
      <c r="K340" s="20"/>
      <c r="L340" s="14"/>
      <c r="M340" s="68"/>
      <c r="N340" s="68"/>
      <c r="O340" s="14"/>
    </row>
    <row r="341" spans="4:15" s="25" customFormat="1">
      <c r="D341" s="24"/>
      <c r="E341" s="24"/>
      <c r="F341" s="64"/>
      <c r="G341" s="64"/>
      <c r="H341" s="20"/>
      <c r="I341" s="12"/>
      <c r="J341" s="72"/>
      <c r="K341" s="20"/>
      <c r="L341" s="14"/>
      <c r="M341" s="68"/>
      <c r="N341" s="68"/>
      <c r="O341" s="14"/>
    </row>
    <row r="342" spans="4:15" s="25" customFormat="1">
      <c r="D342" s="24"/>
      <c r="E342" s="24"/>
      <c r="F342" s="64"/>
      <c r="G342" s="64"/>
      <c r="H342" s="20"/>
      <c r="I342" s="12"/>
      <c r="J342" s="72"/>
      <c r="K342" s="20"/>
      <c r="L342" s="14"/>
      <c r="M342" s="68"/>
      <c r="N342" s="68"/>
      <c r="O342" s="14"/>
    </row>
    <row r="343" spans="4:15" s="25" customFormat="1">
      <c r="D343" s="24"/>
      <c r="E343" s="24"/>
      <c r="F343" s="64"/>
      <c r="G343" s="64"/>
      <c r="H343" s="20"/>
      <c r="I343" s="12"/>
      <c r="J343" s="72"/>
      <c r="K343" s="20"/>
      <c r="L343" s="14"/>
      <c r="M343" s="68"/>
      <c r="N343" s="68"/>
      <c r="O343" s="14"/>
    </row>
    <row r="344" spans="4:15" s="25" customFormat="1">
      <c r="D344" s="24"/>
      <c r="E344" s="24"/>
      <c r="F344" s="64"/>
      <c r="G344" s="64"/>
      <c r="H344" s="20"/>
      <c r="I344" s="12"/>
      <c r="J344" s="72"/>
      <c r="K344" s="20"/>
      <c r="L344" s="14"/>
      <c r="M344" s="68"/>
      <c r="N344" s="68"/>
      <c r="O344" s="14"/>
    </row>
    <row r="345" spans="4:15" s="25" customFormat="1">
      <c r="D345" s="24"/>
      <c r="E345" s="24"/>
      <c r="F345" s="64"/>
      <c r="G345" s="64"/>
      <c r="H345" s="20"/>
      <c r="I345" s="12"/>
      <c r="J345" s="72"/>
      <c r="K345" s="20"/>
      <c r="L345" s="14"/>
      <c r="M345" s="68"/>
      <c r="N345" s="68"/>
      <c r="O345" s="14"/>
    </row>
    <row r="346" spans="4:15" s="25" customFormat="1">
      <c r="D346" s="24"/>
      <c r="E346" s="24"/>
      <c r="F346" s="64"/>
      <c r="G346" s="64"/>
      <c r="H346" s="20"/>
      <c r="I346" s="12"/>
      <c r="J346" s="72"/>
      <c r="K346" s="20"/>
      <c r="L346" s="14"/>
      <c r="M346" s="68"/>
      <c r="N346" s="68"/>
      <c r="O346" s="14"/>
    </row>
    <row r="347" spans="4:15" s="25" customFormat="1">
      <c r="D347" s="24"/>
      <c r="E347" s="24"/>
      <c r="F347" s="64"/>
      <c r="G347" s="64"/>
      <c r="H347" s="20"/>
      <c r="I347" s="12"/>
      <c r="J347" s="72"/>
      <c r="K347" s="20"/>
      <c r="L347" s="14"/>
      <c r="M347" s="68"/>
      <c r="N347" s="68"/>
      <c r="O347" s="14"/>
    </row>
    <row r="348" spans="4:15" s="25" customFormat="1">
      <c r="D348" s="24"/>
      <c r="E348" s="24"/>
      <c r="F348" s="64"/>
      <c r="G348" s="64"/>
      <c r="H348" s="20"/>
      <c r="I348" s="12"/>
      <c r="J348" s="72"/>
      <c r="K348" s="20"/>
      <c r="L348" s="14"/>
      <c r="M348" s="68"/>
      <c r="N348" s="68"/>
      <c r="O348" s="14"/>
    </row>
    <row r="349" spans="4:15" s="25" customFormat="1">
      <c r="D349" s="24"/>
      <c r="E349" s="24"/>
      <c r="F349" s="64"/>
      <c r="G349" s="64"/>
      <c r="H349" s="20"/>
      <c r="I349" s="12"/>
      <c r="J349" s="72"/>
      <c r="K349" s="20"/>
      <c r="L349" s="14"/>
      <c r="M349" s="68"/>
      <c r="N349" s="68"/>
      <c r="O349" s="14"/>
    </row>
    <row r="350" spans="4:15" s="25" customFormat="1">
      <c r="D350" s="24"/>
      <c r="E350" s="24"/>
      <c r="F350" s="64"/>
      <c r="G350" s="64"/>
      <c r="H350" s="20"/>
      <c r="I350" s="12"/>
      <c r="J350" s="72"/>
      <c r="K350" s="20"/>
      <c r="L350" s="14"/>
      <c r="M350" s="68"/>
      <c r="N350" s="68"/>
      <c r="O350" s="14"/>
    </row>
    <row r="351" spans="4:15" s="25" customFormat="1">
      <c r="D351" s="24"/>
      <c r="E351" s="24"/>
      <c r="F351" s="64"/>
      <c r="G351" s="64"/>
      <c r="H351" s="20"/>
      <c r="I351" s="12"/>
      <c r="J351" s="72"/>
      <c r="K351" s="20"/>
      <c r="L351" s="14"/>
      <c r="M351" s="68"/>
      <c r="N351" s="68"/>
      <c r="O351" s="14"/>
    </row>
    <row r="352" spans="4:15" s="25" customFormat="1">
      <c r="D352" s="24"/>
      <c r="E352" s="24"/>
      <c r="F352" s="64"/>
      <c r="G352" s="64"/>
      <c r="H352" s="20"/>
      <c r="I352" s="12"/>
      <c r="J352" s="72"/>
      <c r="K352" s="20"/>
      <c r="L352" s="14"/>
      <c r="M352" s="68"/>
      <c r="N352" s="68"/>
      <c r="O352" s="14"/>
    </row>
    <row r="353" spans="4:15" s="25" customFormat="1">
      <c r="D353" s="24"/>
      <c r="E353" s="24"/>
      <c r="F353" s="64"/>
      <c r="G353" s="64"/>
      <c r="H353" s="20"/>
      <c r="I353" s="12"/>
      <c r="J353" s="72"/>
      <c r="K353" s="20"/>
      <c r="L353" s="14"/>
      <c r="M353" s="68"/>
      <c r="N353" s="68"/>
      <c r="O353" s="14"/>
    </row>
    <row r="354" spans="4:15" s="25" customFormat="1">
      <c r="D354" s="24"/>
      <c r="E354" s="24"/>
      <c r="F354" s="64"/>
      <c r="G354" s="64"/>
      <c r="H354" s="20"/>
      <c r="I354" s="12"/>
      <c r="J354" s="72"/>
      <c r="K354" s="20"/>
      <c r="L354" s="14"/>
      <c r="M354" s="68"/>
      <c r="N354" s="68"/>
      <c r="O354" s="14"/>
    </row>
    <row r="355" spans="4:15" s="25" customFormat="1">
      <c r="D355" s="24"/>
      <c r="E355" s="24"/>
      <c r="F355" s="64"/>
      <c r="G355" s="64"/>
      <c r="H355" s="20"/>
      <c r="I355" s="12"/>
      <c r="J355" s="72"/>
      <c r="K355" s="20"/>
      <c r="L355" s="14"/>
      <c r="M355" s="68"/>
      <c r="N355" s="68"/>
      <c r="O355" s="14"/>
    </row>
    <row r="356" spans="4:15" s="25" customFormat="1">
      <c r="D356" s="24"/>
      <c r="E356" s="24"/>
      <c r="F356" s="64"/>
      <c r="G356" s="64"/>
      <c r="H356" s="20"/>
      <c r="I356" s="12"/>
      <c r="J356" s="72"/>
      <c r="K356" s="20"/>
      <c r="L356" s="14"/>
      <c r="M356" s="68"/>
      <c r="N356" s="68"/>
      <c r="O356" s="14"/>
    </row>
    <row r="357" spans="4:15" s="25" customFormat="1">
      <c r="D357" s="24"/>
      <c r="E357" s="24"/>
      <c r="F357" s="64"/>
      <c r="G357" s="64"/>
      <c r="H357" s="20"/>
      <c r="I357" s="12"/>
      <c r="J357" s="72"/>
      <c r="K357" s="20"/>
      <c r="L357" s="14"/>
      <c r="M357" s="68"/>
      <c r="N357" s="68"/>
      <c r="O357" s="14"/>
    </row>
    <row r="358" spans="4:15" s="25" customFormat="1">
      <c r="D358" s="24"/>
      <c r="E358" s="24"/>
      <c r="F358" s="64"/>
      <c r="G358" s="64"/>
      <c r="H358" s="20"/>
      <c r="I358" s="12"/>
      <c r="J358" s="72"/>
      <c r="K358" s="20"/>
      <c r="L358" s="14"/>
      <c r="M358" s="68"/>
      <c r="N358" s="68"/>
      <c r="O358" s="14"/>
    </row>
    <row r="359" spans="4:15" s="25" customFormat="1">
      <c r="D359" s="24"/>
      <c r="E359" s="24"/>
      <c r="F359" s="64"/>
      <c r="G359" s="64"/>
      <c r="H359" s="20"/>
      <c r="I359" s="12"/>
      <c r="J359" s="72"/>
      <c r="K359" s="20"/>
      <c r="L359" s="14"/>
      <c r="M359" s="68"/>
      <c r="N359" s="68"/>
      <c r="O359" s="14"/>
    </row>
    <row r="360" spans="4:15" s="25" customFormat="1">
      <c r="D360" s="24"/>
      <c r="E360" s="24"/>
      <c r="F360" s="64"/>
      <c r="G360" s="64"/>
      <c r="H360" s="20"/>
      <c r="I360" s="12"/>
      <c r="J360" s="72"/>
      <c r="K360" s="20"/>
      <c r="L360" s="14"/>
      <c r="M360" s="68"/>
      <c r="N360" s="68"/>
      <c r="O360" s="14"/>
    </row>
    <row r="361" spans="4:15" s="25" customFormat="1">
      <c r="D361" s="24"/>
      <c r="E361" s="24"/>
      <c r="F361" s="64"/>
      <c r="G361" s="64"/>
      <c r="H361" s="20"/>
      <c r="I361" s="12"/>
      <c r="J361" s="72"/>
      <c r="K361" s="20"/>
      <c r="L361" s="14"/>
      <c r="M361" s="68"/>
      <c r="N361" s="68"/>
      <c r="O361" s="14"/>
    </row>
    <row r="362" spans="4:15" s="25" customFormat="1">
      <c r="D362" s="24"/>
      <c r="E362" s="24"/>
      <c r="F362" s="64"/>
      <c r="G362" s="64"/>
      <c r="H362" s="20"/>
      <c r="I362" s="12"/>
      <c r="J362" s="72"/>
      <c r="K362" s="20"/>
      <c r="L362" s="14"/>
      <c r="M362" s="68"/>
      <c r="N362" s="68"/>
      <c r="O362" s="14"/>
    </row>
    <row r="363" spans="4:15" s="25" customFormat="1">
      <c r="D363" s="24"/>
      <c r="E363" s="24"/>
      <c r="F363" s="64"/>
      <c r="G363" s="64"/>
      <c r="H363" s="20"/>
      <c r="I363" s="12"/>
      <c r="J363" s="72"/>
      <c r="K363" s="20"/>
      <c r="L363" s="14"/>
      <c r="M363" s="68"/>
      <c r="N363" s="68"/>
      <c r="O363" s="14"/>
    </row>
    <row r="364" spans="4:15" s="25" customFormat="1">
      <c r="D364" s="24"/>
      <c r="E364" s="24"/>
      <c r="F364" s="64"/>
      <c r="G364" s="64"/>
      <c r="H364" s="20"/>
      <c r="I364" s="12"/>
      <c r="J364" s="72"/>
      <c r="K364" s="20"/>
      <c r="L364" s="14"/>
      <c r="M364" s="68"/>
      <c r="N364" s="68"/>
      <c r="O364" s="14"/>
    </row>
    <row r="365" spans="4:15" s="25" customFormat="1">
      <c r="D365" s="24"/>
      <c r="E365" s="24"/>
      <c r="F365" s="64"/>
      <c r="G365" s="64"/>
      <c r="H365" s="20"/>
      <c r="I365" s="12"/>
      <c r="J365" s="72"/>
      <c r="K365" s="20"/>
      <c r="L365" s="14"/>
      <c r="M365" s="68"/>
      <c r="N365" s="68"/>
      <c r="O365" s="14"/>
    </row>
    <row r="366" spans="4:15" s="25" customFormat="1">
      <c r="D366" s="24"/>
      <c r="E366" s="24"/>
      <c r="F366" s="64"/>
      <c r="G366" s="64"/>
      <c r="H366" s="20"/>
      <c r="I366" s="12"/>
      <c r="J366" s="72"/>
      <c r="K366" s="20"/>
      <c r="L366" s="14"/>
      <c r="M366" s="68"/>
      <c r="N366" s="68"/>
      <c r="O366" s="14"/>
    </row>
    <row r="367" spans="4:15" s="25" customFormat="1">
      <c r="D367" s="24"/>
      <c r="E367" s="24"/>
      <c r="F367" s="64"/>
      <c r="G367" s="64"/>
      <c r="H367" s="20"/>
      <c r="I367" s="12"/>
      <c r="J367" s="72"/>
      <c r="K367" s="20"/>
      <c r="L367" s="14"/>
      <c r="M367" s="68"/>
      <c r="N367" s="68"/>
      <c r="O367" s="14"/>
    </row>
    <row r="368" spans="4:15" s="25" customFormat="1">
      <c r="D368" s="24"/>
      <c r="E368" s="24"/>
      <c r="F368" s="64"/>
      <c r="G368" s="64"/>
      <c r="H368" s="20"/>
      <c r="I368" s="12"/>
      <c r="J368" s="72"/>
      <c r="K368" s="20"/>
      <c r="L368" s="14"/>
      <c r="M368" s="68"/>
      <c r="N368" s="68"/>
      <c r="O368" s="14"/>
    </row>
    <row r="369" spans="4:15" s="25" customFormat="1">
      <c r="D369" s="24"/>
      <c r="E369" s="24"/>
      <c r="F369" s="64"/>
      <c r="G369" s="64"/>
      <c r="H369" s="20"/>
      <c r="I369" s="12"/>
      <c r="J369" s="72"/>
      <c r="K369" s="20"/>
      <c r="L369" s="14"/>
      <c r="M369" s="68"/>
      <c r="N369" s="68"/>
      <c r="O369" s="14"/>
    </row>
    <row r="370" spans="4:15" s="25" customFormat="1">
      <c r="D370" s="24"/>
      <c r="E370" s="24"/>
      <c r="F370" s="64"/>
      <c r="G370" s="64"/>
      <c r="H370" s="20"/>
      <c r="I370" s="12"/>
      <c r="J370" s="72"/>
      <c r="K370" s="20"/>
      <c r="L370" s="14"/>
      <c r="M370" s="68"/>
      <c r="N370" s="68"/>
      <c r="O370" s="14"/>
    </row>
    <row r="371" spans="4:15" s="25" customFormat="1">
      <c r="D371" s="24"/>
      <c r="E371" s="24"/>
      <c r="F371" s="64"/>
      <c r="G371" s="64"/>
      <c r="H371" s="20"/>
      <c r="I371" s="12"/>
      <c r="J371" s="72"/>
      <c r="K371" s="20"/>
      <c r="L371" s="14"/>
      <c r="M371" s="68"/>
      <c r="N371" s="68"/>
      <c r="O371" s="14"/>
    </row>
    <row r="372" spans="4:15" s="25" customFormat="1">
      <c r="D372" s="24"/>
      <c r="E372" s="24"/>
      <c r="F372" s="64"/>
      <c r="G372" s="64"/>
      <c r="H372" s="20"/>
      <c r="I372" s="12"/>
      <c r="J372" s="72"/>
      <c r="K372" s="20"/>
      <c r="L372" s="14"/>
      <c r="M372" s="68"/>
      <c r="N372" s="68"/>
      <c r="O372" s="14"/>
    </row>
    <row r="373" spans="4:15" s="25" customFormat="1">
      <c r="D373" s="24"/>
      <c r="E373" s="24"/>
      <c r="F373" s="64"/>
      <c r="G373" s="64"/>
      <c r="H373" s="20"/>
      <c r="I373" s="12"/>
      <c r="J373" s="72"/>
      <c r="K373" s="20"/>
      <c r="L373" s="14"/>
      <c r="M373" s="68"/>
      <c r="N373" s="68"/>
      <c r="O373" s="14"/>
    </row>
    <row r="374" spans="4:15" s="25" customFormat="1">
      <c r="D374" s="24"/>
      <c r="E374" s="24"/>
      <c r="F374" s="64"/>
      <c r="G374" s="64"/>
      <c r="H374" s="20"/>
      <c r="I374" s="12"/>
      <c r="J374" s="72"/>
      <c r="K374" s="20"/>
      <c r="L374" s="14"/>
      <c r="M374" s="68"/>
      <c r="N374" s="68"/>
      <c r="O374" s="14"/>
    </row>
    <row r="375" spans="4:15" s="25" customFormat="1">
      <c r="D375" s="24"/>
      <c r="E375" s="24"/>
      <c r="F375" s="64"/>
      <c r="G375" s="64"/>
      <c r="H375" s="20"/>
      <c r="I375" s="12"/>
      <c r="J375" s="72"/>
      <c r="K375" s="20"/>
      <c r="L375" s="14"/>
      <c r="M375" s="68"/>
      <c r="N375" s="68"/>
      <c r="O375" s="14"/>
    </row>
    <row r="376" spans="4:15" s="25" customFormat="1">
      <c r="D376" s="24"/>
      <c r="E376" s="24"/>
      <c r="F376" s="64"/>
      <c r="G376" s="64"/>
      <c r="H376" s="20"/>
      <c r="I376" s="12"/>
      <c r="J376" s="72"/>
      <c r="K376" s="20"/>
      <c r="L376" s="14"/>
      <c r="M376" s="68"/>
      <c r="N376" s="68"/>
      <c r="O376" s="14"/>
    </row>
    <row r="377" spans="4:15" s="25" customFormat="1">
      <c r="D377" s="24"/>
      <c r="E377" s="24"/>
      <c r="F377" s="64"/>
      <c r="G377" s="64"/>
      <c r="H377" s="20"/>
      <c r="I377" s="12"/>
      <c r="J377" s="72"/>
      <c r="K377" s="20"/>
      <c r="L377" s="14"/>
      <c r="M377" s="68"/>
      <c r="N377" s="68"/>
      <c r="O377" s="14"/>
    </row>
    <row r="378" spans="4:15" s="25" customFormat="1">
      <c r="D378" s="24"/>
      <c r="E378" s="24"/>
      <c r="F378" s="64"/>
      <c r="G378" s="64"/>
      <c r="H378" s="20"/>
      <c r="I378" s="12"/>
      <c r="J378" s="72"/>
      <c r="K378" s="20"/>
      <c r="L378" s="14"/>
      <c r="M378" s="68"/>
      <c r="N378" s="68"/>
      <c r="O378" s="14"/>
    </row>
    <row r="379" spans="4:15" s="25" customFormat="1">
      <c r="D379" s="24"/>
      <c r="E379" s="24"/>
      <c r="F379" s="64"/>
      <c r="G379" s="64"/>
      <c r="H379" s="20"/>
      <c r="I379" s="12"/>
      <c r="J379" s="72"/>
      <c r="K379" s="20"/>
      <c r="L379" s="14"/>
      <c r="M379" s="68"/>
      <c r="N379" s="68"/>
      <c r="O379" s="14"/>
    </row>
    <row r="380" spans="4:15" s="25" customFormat="1">
      <c r="D380" s="24"/>
      <c r="E380" s="24"/>
      <c r="F380" s="64"/>
      <c r="G380" s="64"/>
      <c r="H380" s="20"/>
      <c r="I380" s="12"/>
      <c r="J380" s="72"/>
      <c r="K380" s="20"/>
      <c r="L380" s="14"/>
      <c r="M380" s="68"/>
      <c r="N380" s="68"/>
      <c r="O380" s="14"/>
    </row>
    <row r="381" spans="4:15" s="25" customFormat="1">
      <c r="D381" s="24"/>
      <c r="E381" s="24"/>
      <c r="F381" s="64"/>
      <c r="G381" s="64"/>
      <c r="H381" s="20"/>
      <c r="I381" s="12"/>
      <c r="J381" s="72"/>
      <c r="K381" s="20"/>
      <c r="L381" s="14"/>
      <c r="M381" s="68"/>
      <c r="N381" s="68"/>
      <c r="O381" s="14"/>
    </row>
    <row r="382" spans="4:15" s="25" customFormat="1">
      <c r="D382" s="24"/>
      <c r="E382" s="24"/>
      <c r="F382" s="64"/>
      <c r="G382" s="64"/>
      <c r="H382" s="20"/>
      <c r="I382" s="12"/>
      <c r="J382" s="72"/>
      <c r="K382" s="20"/>
      <c r="L382" s="14"/>
      <c r="M382" s="68"/>
      <c r="N382" s="68"/>
      <c r="O382" s="14"/>
    </row>
    <row r="383" spans="4:15" s="25" customFormat="1">
      <c r="D383" s="24"/>
      <c r="E383" s="24"/>
      <c r="F383" s="64"/>
      <c r="G383" s="64"/>
      <c r="H383" s="20"/>
      <c r="I383" s="12"/>
      <c r="J383" s="72"/>
      <c r="K383" s="20"/>
      <c r="L383" s="14"/>
      <c r="M383" s="68"/>
      <c r="N383" s="68"/>
      <c r="O383" s="14"/>
    </row>
    <row r="384" spans="4:15" s="25" customFormat="1">
      <c r="D384" s="24"/>
      <c r="E384" s="24"/>
      <c r="F384" s="64"/>
      <c r="G384" s="64"/>
      <c r="H384" s="20"/>
      <c r="I384" s="12"/>
      <c r="J384" s="72"/>
      <c r="K384" s="20"/>
      <c r="L384" s="14"/>
      <c r="M384" s="68"/>
      <c r="N384" s="68"/>
      <c r="O384" s="14"/>
    </row>
    <row r="385" spans="4:15" s="25" customFormat="1">
      <c r="D385" s="24"/>
      <c r="E385" s="24"/>
      <c r="F385" s="64"/>
      <c r="G385" s="64"/>
      <c r="H385" s="20"/>
      <c r="I385" s="12"/>
      <c r="J385" s="72"/>
      <c r="K385" s="20"/>
      <c r="L385" s="14"/>
      <c r="M385" s="68"/>
      <c r="N385" s="68"/>
      <c r="O385" s="14"/>
    </row>
    <row r="386" spans="4:15" s="25" customFormat="1">
      <c r="D386" s="24"/>
      <c r="E386" s="24"/>
      <c r="F386" s="64"/>
      <c r="G386" s="64"/>
      <c r="H386" s="20"/>
      <c r="I386" s="12"/>
      <c r="J386" s="72"/>
      <c r="K386" s="20"/>
      <c r="L386" s="14"/>
      <c r="M386" s="68"/>
      <c r="N386" s="68"/>
      <c r="O386" s="14"/>
    </row>
    <row r="387" spans="4:15" s="25" customFormat="1">
      <c r="D387" s="24"/>
      <c r="E387" s="24"/>
      <c r="F387" s="64"/>
      <c r="G387" s="64"/>
      <c r="H387" s="20"/>
      <c r="I387" s="12"/>
      <c r="J387" s="72"/>
      <c r="K387" s="20"/>
      <c r="L387" s="14"/>
      <c r="M387" s="68"/>
      <c r="N387" s="68"/>
      <c r="O387" s="14"/>
    </row>
    <row r="388" spans="4:15" s="25" customFormat="1">
      <c r="D388" s="24"/>
      <c r="E388" s="24"/>
      <c r="F388" s="64"/>
      <c r="G388" s="64"/>
      <c r="H388" s="20"/>
      <c r="I388" s="12"/>
      <c r="J388" s="72"/>
      <c r="K388" s="20"/>
      <c r="L388" s="14"/>
      <c r="M388" s="68"/>
      <c r="N388" s="68"/>
      <c r="O388" s="14"/>
    </row>
    <row r="389" spans="4:15" s="25" customFormat="1">
      <c r="D389" s="24"/>
      <c r="E389" s="24"/>
      <c r="F389" s="64"/>
      <c r="G389" s="64"/>
      <c r="H389" s="20"/>
      <c r="I389" s="12"/>
      <c r="J389" s="72"/>
      <c r="K389" s="20"/>
      <c r="L389" s="14"/>
      <c r="M389" s="68"/>
      <c r="N389" s="68"/>
      <c r="O389" s="14"/>
    </row>
    <row r="390" spans="4:15" s="25" customFormat="1">
      <c r="D390" s="24"/>
      <c r="E390" s="24"/>
      <c r="F390" s="64"/>
      <c r="G390" s="64"/>
      <c r="H390" s="20"/>
      <c r="I390" s="12"/>
      <c r="J390" s="72"/>
      <c r="K390" s="20"/>
      <c r="L390" s="14"/>
      <c r="M390" s="68"/>
      <c r="N390" s="68"/>
      <c r="O390" s="14"/>
    </row>
    <row r="391" spans="4:15" s="25" customFormat="1">
      <c r="D391" s="24"/>
      <c r="E391" s="24"/>
      <c r="F391" s="64"/>
      <c r="G391" s="64"/>
      <c r="H391" s="20"/>
      <c r="I391" s="12"/>
      <c r="J391" s="72"/>
      <c r="K391" s="20"/>
      <c r="L391" s="14"/>
      <c r="M391" s="68"/>
      <c r="N391" s="68"/>
      <c r="O391" s="14"/>
    </row>
    <row r="392" spans="4:15" s="25" customFormat="1">
      <c r="D392" s="24"/>
      <c r="E392" s="24"/>
      <c r="F392" s="64"/>
      <c r="G392" s="64"/>
      <c r="H392" s="20"/>
      <c r="I392" s="12"/>
      <c r="J392" s="72"/>
      <c r="K392" s="20"/>
      <c r="L392" s="14"/>
      <c r="M392" s="68"/>
      <c r="N392" s="68"/>
      <c r="O392" s="14"/>
    </row>
    <row r="393" spans="4:15" s="25" customFormat="1">
      <c r="D393" s="24"/>
      <c r="E393" s="24"/>
      <c r="F393" s="64"/>
      <c r="G393" s="64"/>
      <c r="H393" s="20"/>
      <c r="I393" s="12"/>
      <c r="J393" s="72"/>
      <c r="K393" s="20"/>
      <c r="L393" s="14"/>
      <c r="M393" s="68"/>
      <c r="N393" s="68"/>
      <c r="O393" s="14"/>
    </row>
    <row r="394" spans="4:15" s="25" customFormat="1">
      <c r="D394" s="24"/>
      <c r="E394" s="24"/>
      <c r="F394" s="64"/>
      <c r="G394" s="64"/>
      <c r="H394" s="20"/>
      <c r="I394" s="12"/>
      <c r="J394" s="72"/>
      <c r="K394" s="20"/>
      <c r="L394" s="14"/>
      <c r="M394" s="68"/>
      <c r="N394" s="68"/>
      <c r="O394" s="14"/>
    </row>
    <row r="395" spans="4:15" s="25" customFormat="1">
      <c r="D395" s="24"/>
      <c r="E395" s="24"/>
      <c r="F395" s="64"/>
      <c r="G395" s="64"/>
      <c r="H395" s="20"/>
      <c r="I395" s="12"/>
      <c r="J395" s="72"/>
      <c r="K395" s="20"/>
      <c r="L395" s="14"/>
      <c r="M395" s="68"/>
      <c r="N395" s="68"/>
      <c r="O395" s="14"/>
    </row>
    <row r="396" spans="4:15" s="25" customFormat="1">
      <c r="D396" s="24"/>
      <c r="E396" s="24"/>
      <c r="F396" s="64"/>
      <c r="G396" s="64"/>
      <c r="H396" s="20"/>
      <c r="I396" s="12"/>
      <c r="J396" s="72"/>
      <c r="K396" s="20"/>
      <c r="L396" s="14"/>
      <c r="M396" s="68"/>
      <c r="N396" s="68"/>
      <c r="O396" s="14"/>
    </row>
    <row r="397" spans="4:15" s="25" customFormat="1">
      <c r="D397" s="24"/>
      <c r="E397" s="24"/>
      <c r="F397" s="64"/>
      <c r="G397" s="64"/>
      <c r="H397" s="20"/>
      <c r="I397" s="12"/>
      <c r="J397" s="72"/>
      <c r="K397" s="20"/>
      <c r="L397" s="14"/>
      <c r="M397" s="68"/>
      <c r="N397" s="68"/>
      <c r="O397" s="14"/>
    </row>
    <row r="398" spans="4:15" s="25" customFormat="1">
      <c r="D398" s="24"/>
      <c r="E398" s="24"/>
      <c r="F398" s="64"/>
      <c r="G398" s="64"/>
      <c r="H398" s="20"/>
      <c r="I398" s="12"/>
      <c r="J398" s="72"/>
      <c r="K398" s="20"/>
      <c r="L398" s="14"/>
      <c r="M398" s="68"/>
      <c r="N398" s="68"/>
      <c r="O398" s="14"/>
    </row>
    <row r="399" spans="4:15" s="25" customFormat="1">
      <c r="D399" s="24"/>
      <c r="E399" s="24"/>
      <c r="F399" s="64"/>
      <c r="G399" s="64"/>
      <c r="H399" s="20"/>
      <c r="I399" s="12"/>
      <c r="J399" s="72"/>
      <c r="K399" s="20"/>
      <c r="L399" s="14"/>
      <c r="M399" s="68"/>
      <c r="N399" s="68"/>
      <c r="O399" s="14"/>
    </row>
    <row r="400" spans="4:15" s="25" customFormat="1">
      <c r="D400" s="24"/>
      <c r="E400" s="24"/>
      <c r="F400" s="64"/>
      <c r="G400" s="64"/>
      <c r="H400" s="20"/>
      <c r="I400" s="12"/>
      <c r="J400" s="72"/>
      <c r="K400" s="20"/>
      <c r="L400" s="14"/>
      <c r="M400" s="68"/>
      <c r="N400" s="68"/>
      <c r="O400" s="14"/>
    </row>
    <row r="401" spans="4:15" s="25" customFormat="1">
      <c r="D401" s="24"/>
      <c r="E401" s="24"/>
      <c r="F401" s="64"/>
      <c r="G401" s="64"/>
      <c r="H401" s="20"/>
      <c r="I401" s="12"/>
      <c r="J401" s="72"/>
      <c r="K401" s="20"/>
      <c r="L401" s="14"/>
      <c r="M401" s="68"/>
      <c r="N401" s="68"/>
      <c r="O401" s="14"/>
    </row>
    <row r="402" spans="4:15" s="25" customFormat="1">
      <c r="D402" s="24"/>
      <c r="E402" s="24"/>
      <c r="F402" s="64"/>
      <c r="G402" s="64"/>
      <c r="H402" s="20"/>
      <c r="I402" s="12"/>
      <c r="J402" s="72"/>
      <c r="K402" s="20"/>
      <c r="L402" s="14"/>
      <c r="M402" s="68"/>
      <c r="N402" s="68"/>
      <c r="O402" s="14"/>
    </row>
    <row r="403" spans="4:15" s="25" customFormat="1">
      <c r="D403" s="24"/>
      <c r="E403" s="24"/>
      <c r="F403" s="64"/>
      <c r="G403" s="64"/>
      <c r="H403" s="20"/>
      <c r="I403" s="12"/>
      <c r="J403" s="72"/>
      <c r="K403" s="20"/>
      <c r="L403" s="14"/>
      <c r="M403" s="68"/>
      <c r="N403" s="68"/>
      <c r="O403" s="14"/>
    </row>
    <row r="404" spans="4:15" s="25" customFormat="1">
      <c r="D404" s="24"/>
      <c r="E404" s="24"/>
      <c r="F404" s="64"/>
      <c r="G404" s="64"/>
      <c r="H404" s="20"/>
      <c r="I404" s="12"/>
      <c r="J404" s="72"/>
      <c r="K404" s="20"/>
      <c r="L404" s="14"/>
      <c r="M404" s="68"/>
      <c r="N404" s="68"/>
      <c r="O404" s="14"/>
    </row>
    <row r="405" spans="4:15" s="25" customFormat="1">
      <c r="D405" s="24"/>
      <c r="E405" s="24"/>
      <c r="F405" s="64"/>
      <c r="G405" s="64"/>
      <c r="H405" s="20"/>
      <c r="I405" s="12"/>
      <c r="J405" s="72"/>
      <c r="K405" s="20"/>
      <c r="L405" s="14"/>
      <c r="M405" s="68"/>
      <c r="N405" s="68"/>
      <c r="O405" s="14"/>
    </row>
    <row r="406" spans="4:15" s="25" customFormat="1">
      <c r="D406" s="24"/>
      <c r="E406" s="24"/>
      <c r="F406" s="64"/>
      <c r="G406" s="64"/>
      <c r="H406" s="20"/>
      <c r="I406" s="12"/>
      <c r="J406" s="72"/>
      <c r="K406" s="20"/>
      <c r="L406" s="14"/>
      <c r="M406" s="68"/>
      <c r="N406" s="68"/>
      <c r="O406" s="14"/>
    </row>
    <row r="407" spans="4:15" s="25" customFormat="1">
      <c r="D407" s="24"/>
      <c r="E407" s="24"/>
      <c r="F407" s="64"/>
      <c r="G407" s="64"/>
      <c r="H407" s="20"/>
      <c r="I407" s="12"/>
      <c r="J407" s="72"/>
      <c r="K407" s="20"/>
      <c r="L407" s="14"/>
      <c r="M407" s="68"/>
      <c r="N407" s="68"/>
      <c r="O407" s="14"/>
    </row>
    <row r="408" spans="4:15" s="25" customFormat="1">
      <c r="D408" s="24"/>
      <c r="E408" s="24"/>
      <c r="F408" s="64"/>
      <c r="G408" s="64"/>
      <c r="H408" s="20"/>
      <c r="I408" s="12"/>
      <c r="J408" s="72"/>
      <c r="K408" s="20"/>
      <c r="L408" s="14"/>
      <c r="M408" s="68"/>
      <c r="N408" s="68"/>
      <c r="O408" s="14"/>
    </row>
    <row r="409" spans="4:15" s="25" customFormat="1">
      <c r="D409" s="24"/>
      <c r="E409" s="24"/>
      <c r="F409" s="64"/>
      <c r="G409" s="64"/>
      <c r="H409" s="20"/>
      <c r="I409" s="12"/>
      <c r="J409" s="72"/>
      <c r="K409" s="20"/>
      <c r="L409" s="14"/>
      <c r="M409" s="68"/>
      <c r="N409" s="68"/>
      <c r="O409" s="14"/>
    </row>
    <row r="410" spans="4:15" s="25" customFormat="1">
      <c r="D410" s="24"/>
      <c r="E410" s="24"/>
      <c r="F410" s="64"/>
      <c r="G410" s="64"/>
      <c r="H410" s="20"/>
      <c r="I410" s="12"/>
      <c r="J410" s="72"/>
      <c r="K410" s="20"/>
      <c r="L410" s="14"/>
      <c r="M410" s="68"/>
      <c r="N410" s="68"/>
      <c r="O410" s="14"/>
    </row>
    <row r="411" spans="4:15" s="25" customFormat="1">
      <c r="D411" s="24"/>
      <c r="E411" s="24"/>
      <c r="F411" s="64"/>
      <c r="G411" s="64"/>
      <c r="H411" s="20"/>
      <c r="I411" s="12"/>
      <c r="J411" s="72"/>
      <c r="K411" s="20"/>
      <c r="L411" s="14"/>
      <c r="M411" s="68"/>
      <c r="N411" s="68"/>
      <c r="O411" s="14"/>
    </row>
    <row r="412" spans="4:15" s="25" customFormat="1">
      <c r="D412" s="24"/>
      <c r="E412" s="24"/>
      <c r="F412" s="64"/>
      <c r="G412" s="64"/>
      <c r="H412" s="20"/>
      <c r="I412" s="12"/>
      <c r="J412" s="72"/>
      <c r="K412" s="20"/>
      <c r="L412" s="14"/>
      <c r="M412" s="68"/>
      <c r="N412" s="68"/>
      <c r="O412" s="14"/>
    </row>
    <row r="413" spans="4:15" s="25" customFormat="1">
      <c r="D413" s="24"/>
      <c r="E413" s="24"/>
      <c r="F413" s="64"/>
      <c r="G413" s="64"/>
      <c r="H413" s="20"/>
      <c r="I413" s="12"/>
      <c r="J413" s="72"/>
      <c r="K413" s="20"/>
      <c r="L413" s="14"/>
      <c r="M413" s="68"/>
      <c r="N413" s="68"/>
      <c r="O413" s="14"/>
    </row>
    <row r="414" spans="4:15" s="25" customFormat="1">
      <c r="D414" s="24"/>
      <c r="E414" s="24"/>
      <c r="F414" s="64"/>
      <c r="G414" s="64"/>
      <c r="H414" s="20"/>
      <c r="I414" s="12"/>
      <c r="J414" s="72"/>
      <c r="K414" s="20"/>
      <c r="L414" s="14"/>
      <c r="M414" s="68"/>
      <c r="N414" s="68"/>
      <c r="O414" s="14"/>
    </row>
    <row r="415" spans="4:15" s="25" customFormat="1">
      <c r="D415" s="24"/>
      <c r="E415" s="24"/>
      <c r="F415" s="64"/>
      <c r="G415" s="64"/>
      <c r="H415" s="20"/>
      <c r="I415" s="12"/>
      <c r="J415" s="72"/>
      <c r="K415" s="20"/>
      <c r="L415" s="14"/>
      <c r="M415" s="68"/>
      <c r="N415" s="68"/>
      <c r="O415" s="14"/>
    </row>
    <row r="416" spans="4:15" s="25" customFormat="1">
      <c r="D416" s="24"/>
      <c r="E416" s="24"/>
      <c r="F416" s="64"/>
      <c r="G416" s="64"/>
      <c r="H416" s="20"/>
      <c r="I416" s="12"/>
      <c r="J416" s="72"/>
      <c r="K416" s="20"/>
      <c r="L416" s="14"/>
      <c r="M416" s="68"/>
      <c r="N416" s="68"/>
      <c r="O416" s="14"/>
    </row>
    <row r="417" spans="4:15" s="25" customFormat="1">
      <c r="D417" s="24"/>
      <c r="E417" s="24"/>
      <c r="F417" s="64"/>
      <c r="G417" s="64"/>
      <c r="H417" s="20"/>
      <c r="I417" s="12"/>
      <c r="J417" s="72"/>
      <c r="K417" s="20"/>
      <c r="L417" s="14"/>
      <c r="M417" s="68"/>
      <c r="N417" s="68"/>
      <c r="O417" s="14"/>
    </row>
    <row r="418" spans="4:15" s="25" customFormat="1">
      <c r="D418" s="24"/>
      <c r="E418" s="24"/>
      <c r="F418" s="64"/>
      <c r="G418" s="64"/>
      <c r="H418" s="20"/>
      <c r="I418" s="12"/>
      <c r="J418" s="72"/>
      <c r="K418" s="20"/>
      <c r="L418" s="14"/>
      <c r="M418" s="68"/>
      <c r="N418" s="68"/>
      <c r="O418" s="14"/>
    </row>
    <row r="419" spans="4:15" s="25" customFormat="1">
      <c r="D419" s="24"/>
      <c r="E419" s="24"/>
      <c r="F419" s="64"/>
      <c r="G419" s="64"/>
      <c r="H419" s="20"/>
      <c r="I419" s="12"/>
      <c r="J419" s="72"/>
      <c r="K419" s="20"/>
      <c r="L419" s="14"/>
      <c r="M419" s="68"/>
      <c r="N419" s="68"/>
      <c r="O419" s="14"/>
    </row>
    <row r="420" spans="4:15" s="25" customFormat="1">
      <c r="D420" s="24"/>
      <c r="E420" s="24"/>
      <c r="F420" s="64"/>
      <c r="G420" s="64"/>
      <c r="H420" s="20"/>
      <c r="I420" s="12"/>
      <c r="J420" s="72"/>
      <c r="K420" s="20"/>
      <c r="L420" s="14"/>
      <c r="M420" s="68"/>
      <c r="N420" s="68"/>
      <c r="O420" s="14"/>
    </row>
    <row r="421" spans="4:15" s="25" customFormat="1">
      <c r="D421" s="24"/>
      <c r="E421" s="24"/>
      <c r="F421" s="64"/>
      <c r="G421" s="64"/>
      <c r="H421" s="20"/>
      <c r="I421" s="12"/>
      <c r="J421" s="72"/>
      <c r="K421" s="20"/>
      <c r="L421" s="14"/>
      <c r="M421" s="68"/>
      <c r="N421" s="68"/>
      <c r="O421" s="14"/>
    </row>
    <row r="422" spans="4:15" s="25" customFormat="1">
      <c r="D422" s="24"/>
      <c r="E422" s="24"/>
      <c r="F422" s="64"/>
      <c r="G422" s="64"/>
      <c r="H422" s="20"/>
      <c r="I422" s="12"/>
      <c r="J422" s="72"/>
      <c r="K422" s="20"/>
      <c r="L422" s="14"/>
      <c r="M422" s="68"/>
      <c r="N422" s="68"/>
      <c r="O422" s="14"/>
    </row>
    <row r="423" spans="4:15" s="25" customFormat="1">
      <c r="D423" s="24"/>
      <c r="E423" s="24"/>
      <c r="F423" s="64"/>
      <c r="G423" s="64"/>
      <c r="H423" s="20"/>
      <c r="I423" s="12"/>
      <c r="J423" s="72"/>
      <c r="K423" s="20"/>
      <c r="L423" s="14"/>
      <c r="M423" s="68"/>
      <c r="N423" s="68"/>
      <c r="O423" s="14"/>
    </row>
    <row r="424" spans="4:15" s="25" customFormat="1">
      <c r="D424" s="24"/>
      <c r="E424" s="24"/>
      <c r="F424" s="64"/>
      <c r="G424" s="64"/>
      <c r="H424" s="20"/>
      <c r="I424" s="12"/>
      <c r="J424" s="72"/>
      <c r="K424" s="20"/>
      <c r="L424" s="14"/>
      <c r="M424" s="68"/>
      <c r="N424" s="68"/>
      <c r="O424" s="14"/>
    </row>
    <row r="425" spans="4:15" s="25" customFormat="1">
      <c r="D425" s="24"/>
      <c r="E425" s="24"/>
      <c r="F425" s="64"/>
      <c r="G425" s="64"/>
      <c r="H425" s="20"/>
      <c r="I425" s="12"/>
      <c r="J425" s="72"/>
      <c r="K425" s="20"/>
      <c r="L425" s="14"/>
      <c r="M425" s="68"/>
      <c r="N425" s="68"/>
      <c r="O425" s="14"/>
    </row>
    <row r="426" spans="4:15" s="25" customFormat="1">
      <c r="D426" s="24"/>
      <c r="E426" s="24"/>
      <c r="F426" s="64"/>
      <c r="G426" s="64"/>
      <c r="H426" s="20"/>
      <c r="I426" s="12"/>
      <c r="J426" s="72"/>
      <c r="K426" s="20"/>
      <c r="L426" s="14"/>
      <c r="M426" s="68"/>
      <c r="N426" s="68"/>
      <c r="O426" s="14"/>
    </row>
    <row r="427" spans="4:15" s="25" customFormat="1">
      <c r="D427" s="24"/>
      <c r="E427" s="24"/>
      <c r="F427" s="64"/>
      <c r="G427" s="64"/>
      <c r="H427" s="20"/>
      <c r="I427" s="12"/>
      <c r="J427" s="72"/>
      <c r="K427" s="20"/>
      <c r="L427" s="14"/>
      <c r="M427" s="68"/>
      <c r="N427" s="68"/>
      <c r="O427" s="14"/>
    </row>
    <row r="428" spans="4:15" s="25" customFormat="1">
      <c r="D428" s="24"/>
      <c r="E428" s="24"/>
      <c r="F428" s="64"/>
      <c r="G428" s="64"/>
      <c r="H428" s="20"/>
      <c r="I428" s="12"/>
      <c r="J428" s="72"/>
      <c r="K428" s="20"/>
      <c r="L428" s="14"/>
      <c r="M428" s="68"/>
      <c r="N428" s="68"/>
      <c r="O428" s="14"/>
    </row>
    <row r="429" spans="4:15" s="25" customFormat="1">
      <c r="D429" s="24"/>
      <c r="E429" s="24"/>
      <c r="F429" s="64"/>
      <c r="G429" s="64"/>
      <c r="H429" s="20"/>
      <c r="I429" s="12"/>
      <c r="J429" s="72"/>
      <c r="K429" s="20"/>
      <c r="L429" s="14"/>
      <c r="M429" s="68"/>
      <c r="N429" s="68"/>
      <c r="O429" s="14"/>
    </row>
    <row r="430" spans="4:15" s="25" customFormat="1">
      <c r="D430" s="24"/>
      <c r="E430" s="24"/>
      <c r="F430" s="64"/>
      <c r="G430" s="64"/>
      <c r="H430" s="20"/>
      <c r="I430" s="12"/>
      <c r="J430" s="72"/>
      <c r="K430" s="20"/>
      <c r="L430" s="14"/>
      <c r="M430" s="68"/>
      <c r="N430" s="68"/>
      <c r="O430" s="14"/>
    </row>
    <row r="431" spans="4:15" s="25" customFormat="1">
      <c r="D431" s="24"/>
      <c r="E431" s="24"/>
      <c r="F431" s="64"/>
      <c r="G431" s="64"/>
      <c r="H431" s="20"/>
      <c r="I431" s="12"/>
      <c r="J431" s="72"/>
      <c r="K431" s="20"/>
      <c r="L431" s="14"/>
      <c r="M431" s="68"/>
      <c r="N431" s="68"/>
      <c r="O431" s="14"/>
    </row>
    <row r="432" spans="4:15" s="25" customFormat="1">
      <c r="D432" s="24"/>
      <c r="E432" s="24"/>
      <c r="F432" s="64"/>
      <c r="G432" s="64"/>
      <c r="H432" s="20"/>
      <c r="I432" s="12"/>
      <c r="J432" s="72"/>
      <c r="K432" s="20"/>
      <c r="L432" s="14"/>
      <c r="M432" s="68"/>
      <c r="N432" s="68"/>
      <c r="O432" s="14"/>
    </row>
    <row r="433" spans="4:15" s="25" customFormat="1">
      <c r="D433" s="24"/>
      <c r="E433" s="24"/>
      <c r="F433" s="64"/>
      <c r="G433" s="64"/>
      <c r="H433" s="20"/>
      <c r="I433" s="12"/>
      <c r="J433" s="72"/>
      <c r="K433" s="20"/>
      <c r="L433" s="14"/>
      <c r="M433" s="68"/>
      <c r="N433" s="68"/>
      <c r="O433" s="14"/>
    </row>
    <row r="434" spans="4:15" s="25" customFormat="1">
      <c r="D434" s="24"/>
      <c r="E434" s="24"/>
      <c r="F434" s="64"/>
      <c r="G434" s="64"/>
      <c r="H434" s="20"/>
      <c r="I434" s="12"/>
      <c r="J434" s="72"/>
      <c r="K434" s="20"/>
      <c r="L434" s="14"/>
      <c r="M434" s="68"/>
      <c r="N434" s="68"/>
      <c r="O434" s="14"/>
    </row>
    <row r="435" spans="4:15" s="25" customFormat="1">
      <c r="D435" s="24"/>
      <c r="E435" s="24"/>
      <c r="F435" s="64"/>
      <c r="G435" s="64"/>
      <c r="H435" s="20"/>
      <c r="I435" s="12"/>
      <c r="J435" s="72"/>
      <c r="K435" s="20"/>
      <c r="L435" s="14"/>
      <c r="M435" s="68"/>
      <c r="N435" s="68"/>
      <c r="O435" s="14"/>
    </row>
    <row r="436" spans="4:15" s="25" customFormat="1">
      <c r="D436" s="24"/>
      <c r="E436" s="24"/>
      <c r="F436" s="64"/>
      <c r="G436" s="64"/>
      <c r="H436" s="20"/>
      <c r="I436" s="12"/>
      <c r="J436" s="72"/>
      <c r="K436" s="20"/>
      <c r="L436" s="14"/>
      <c r="M436" s="68"/>
      <c r="N436" s="68"/>
      <c r="O436" s="14"/>
    </row>
    <row r="437" spans="4:15" s="25" customFormat="1">
      <c r="D437" s="24"/>
      <c r="E437" s="24"/>
      <c r="F437" s="64"/>
      <c r="G437" s="64"/>
      <c r="H437" s="20"/>
      <c r="I437" s="12"/>
      <c r="J437" s="72"/>
      <c r="K437" s="20"/>
      <c r="L437" s="14"/>
      <c r="M437" s="68"/>
      <c r="N437" s="68"/>
      <c r="O437" s="14"/>
    </row>
    <row r="438" spans="4:15" s="25" customFormat="1">
      <c r="D438" s="24"/>
      <c r="E438" s="24"/>
      <c r="F438" s="64"/>
      <c r="G438" s="64"/>
      <c r="H438" s="20"/>
      <c r="I438" s="12"/>
      <c r="J438" s="72"/>
      <c r="K438" s="20"/>
      <c r="L438" s="14"/>
      <c r="M438" s="68"/>
      <c r="N438" s="68"/>
      <c r="O438" s="14"/>
    </row>
    <row r="439" spans="4:15" s="25" customFormat="1">
      <c r="D439" s="24"/>
      <c r="E439" s="24"/>
      <c r="F439" s="64"/>
      <c r="G439" s="64"/>
      <c r="H439" s="20"/>
      <c r="I439" s="12"/>
      <c r="J439" s="72"/>
      <c r="K439" s="20"/>
      <c r="L439" s="14"/>
      <c r="M439" s="68"/>
      <c r="N439" s="68"/>
      <c r="O439" s="14"/>
    </row>
    <row r="440" spans="4:15" s="25" customFormat="1">
      <c r="D440" s="24"/>
      <c r="E440" s="24"/>
      <c r="F440" s="64"/>
      <c r="G440" s="64"/>
      <c r="H440" s="20"/>
      <c r="I440" s="12"/>
      <c r="J440" s="72"/>
      <c r="K440" s="20"/>
      <c r="L440" s="14"/>
      <c r="M440" s="68"/>
      <c r="N440" s="68"/>
      <c r="O440" s="14"/>
    </row>
    <row r="441" spans="4:15" s="25" customFormat="1">
      <c r="D441" s="24"/>
      <c r="E441" s="24"/>
      <c r="F441" s="64"/>
      <c r="G441" s="64"/>
      <c r="H441" s="20"/>
      <c r="I441" s="12"/>
      <c r="J441" s="72"/>
      <c r="K441" s="20"/>
      <c r="L441" s="14"/>
      <c r="M441" s="68"/>
      <c r="N441" s="68"/>
      <c r="O441" s="14"/>
    </row>
    <row r="442" spans="4:15" s="25" customFormat="1">
      <c r="D442" s="24"/>
      <c r="E442" s="24"/>
      <c r="F442" s="64"/>
      <c r="G442" s="64"/>
      <c r="H442" s="20"/>
      <c r="I442" s="12"/>
      <c r="J442" s="72"/>
      <c r="K442" s="20"/>
      <c r="L442" s="14"/>
      <c r="M442" s="68"/>
      <c r="N442" s="68"/>
      <c r="O442" s="14"/>
    </row>
    <row r="443" spans="4:15" s="25" customFormat="1">
      <c r="D443" s="24"/>
      <c r="E443" s="24"/>
      <c r="F443" s="64"/>
      <c r="G443" s="64"/>
      <c r="H443" s="20"/>
      <c r="I443" s="12"/>
      <c r="J443" s="72"/>
      <c r="K443" s="20"/>
      <c r="L443" s="14"/>
      <c r="M443" s="68"/>
      <c r="N443" s="68"/>
      <c r="O443" s="14"/>
    </row>
    <row r="444" spans="4:15" s="25" customFormat="1">
      <c r="D444" s="24"/>
      <c r="E444" s="24"/>
      <c r="F444" s="64"/>
      <c r="G444" s="64"/>
      <c r="H444" s="20"/>
      <c r="I444" s="12"/>
      <c r="J444" s="72"/>
      <c r="K444" s="20"/>
      <c r="L444" s="14"/>
      <c r="M444" s="68"/>
      <c r="N444" s="68"/>
      <c r="O444" s="14"/>
    </row>
    <row r="445" spans="4:15" s="25" customFormat="1">
      <c r="D445" s="24"/>
      <c r="E445" s="24"/>
      <c r="F445" s="64"/>
      <c r="G445" s="64"/>
      <c r="H445" s="20"/>
      <c r="I445" s="12"/>
      <c r="J445" s="72"/>
      <c r="K445" s="20"/>
      <c r="L445" s="14"/>
      <c r="M445" s="68"/>
      <c r="N445" s="68"/>
      <c r="O445" s="14"/>
    </row>
    <row r="446" spans="4:15" s="25" customFormat="1">
      <c r="D446" s="24"/>
      <c r="E446" s="24"/>
      <c r="F446" s="64"/>
      <c r="G446" s="64"/>
      <c r="H446" s="20"/>
      <c r="I446" s="12"/>
      <c r="J446" s="72"/>
      <c r="K446" s="20"/>
      <c r="L446" s="14"/>
      <c r="M446" s="68"/>
      <c r="N446" s="68"/>
      <c r="O446" s="14"/>
    </row>
    <row r="447" spans="4:15" s="25" customFormat="1">
      <c r="D447" s="24"/>
      <c r="E447" s="24"/>
      <c r="F447" s="64"/>
      <c r="G447" s="64"/>
      <c r="H447" s="20"/>
      <c r="I447" s="12"/>
      <c r="J447" s="72"/>
      <c r="K447" s="20"/>
      <c r="L447" s="14"/>
      <c r="M447" s="68"/>
      <c r="N447" s="68"/>
      <c r="O447" s="14"/>
    </row>
    <row r="448" spans="4:15" s="25" customFormat="1">
      <c r="D448" s="24"/>
      <c r="E448" s="24"/>
      <c r="F448" s="64"/>
      <c r="G448" s="64"/>
      <c r="H448" s="20"/>
      <c r="I448" s="12"/>
      <c r="J448" s="72"/>
      <c r="K448" s="20"/>
      <c r="L448" s="14"/>
      <c r="M448" s="68"/>
      <c r="N448" s="68"/>
      <c r="O448" s="14"/>
    </row>
    <row r="449" spans="4:15" s="25" customFormat="1">
      <c r="D449" s="24"/>
      <c r="E449" s="24"/>
      <c r="F449" s="64"/>
      <c r="G449" s="64"/>
      <c r="H449" s="20"/>
      <c r="I449" s="12"/>
      <c r="J449" s="72"/>
      <c r="K449" s="20"/>
      <c r="L449" s="14"/>
      <c r="M449" s="68"/>
      <c r="N449" s="68"/>
      <c r="O449" s="14"/>
    </row>
    <row r="450" spans="4:15" s="25" customFormat="1">
      <c r="D450" s="24"/>
      <c r="E450" s="24"/>
      <c r="F450" s="64"/>
      <c r="G450" s="64"/>
      <c r="H450" s="20"/>
      <c r="I450" s="12"/>
      <c r="J450" s="72"/>
      <c r="K450" s="20"/>
      <c r="L450" s="14"/>
      <c r="M450" s="68"/>
      <c r="N450" s="68"/>
      <c r="O450" s="14"/>
    </row>
    <row r="451" spans="4:15" s="25" customFormat="1">
      <c r="D451" s="24"/>
      <c r="E451" s="24"/>
      <c r="F451" s="64"/>
      <c r="G451" s="64"/>
      <c r="H451" s="20"/>
      <c r="I451" s="12"/>
      <c r="J451" s="72"/>
      <c r="K451" s="20"/>
      <c r="L451" s="14"/>
      <c r="M451" s="68"/>
      <c r="N451" s="68"/>
      <c r="O451" s="14"/>
    </row>
    <row r="452" spans="4:15" s="25" customFormat="1">
      <c r="D452" s="24"/>
      <c r="E452" s="24"/>
      <c r="F452" s="64"/>
      <c r="G452" s="64"/>
      <c r="H452" s="20"/>
      <c r="I452" s="12"/>
      <c r="J452" s="72"/>
      <c r="K452" s="20"/>
      <c r="L452" s="14"/>
      <c r="M452" s="68"/>
      <c r="N452" s="68"/>
      <c r="O452" s="14"/>
    </row>
    <row r="453" spans="4:15" s="25" customFormat="1">
      <c r="D453" s="24"/>
      <c r="E453" s="24"/>
      <c r="F453" s="64"/>
      <c r="G453" s="64"/>
      <c r="H453" s="20"/>
      <c r="I453" s="12"/>
      <c r="J453" s="72"/>
      <c r="K453" s="20"/>
      <c r="L453" s="14"/>
      <c r="M453" s="68"/>
      <c r="N453" s="68"/>
      <c r="O453" s="14"/>
    </row>
    <row r="454" spans="4:15" s="25" customFormat="1">
      <c r="D454" s="24"/>
      <c r="E454" s="24"/>
      <c r="F454" s="64"/>
      <c r="G454" s="64"/>
      <c r="H454" s="20"/>
      <c r="I454" s="12"/>
      <c r="J454" s="72"/>
      <c r="K454" s="20"/>
      <c r="L454" s="14"/>
      <c r="M454" s="68"/>
      <c r="N454" s="68"/>
      <c r="O454" s="14"/>
    </row>
    <row r="455" spans="4:15" s="25" customFormat="1">
      <c r="D455" s="24"/>
      <c r="E455" s="24"/>
      <c r="F455" s="64"/>
      <c r="G455" s="64"/>
      <c r="H455" s="20"/>
      <c r="I455" s="12"/>
      <c r="J455" s="72"/>
      <c r="K455" s="20"/>
      <c r="L455" s="14"/>
      <c r="M455" s="68"/>
      <c r="N455" s="68"/>
      <c r="O455" s="14"/>
    </row>
    <row r="456" spans="4:15" s="25" customFormat="1">
      <c r="D456" s="24"/>
      <c r="E456" s="24"/>
      <c r="F456" s="64"/>
      <c r="G456" s="64"/>
      <c r="H456" s="20"/>
      <c r="I456" s="12"/>
      <c r="J456" s="72"/>
      <c r="K456" s="20"/>
      <c r="L456" s="14"/>
      <c r="M456" s="68"/>
      <c r="N456" s="68"/>
      <c r="O456" s="14"/>
    </row>
    <row r="457" spans="4:15" s="25" customFormat="1">
      <c r="D457" s="24"/>
      <c r="E457" s="24"/>
      <c r="F457" s="64"/>
      <c r="G457" s="64"/>
      <c r="H457" s="20"/>
      <c r="I457" s="12"/>
      <c r="J457" s="72"/>
      <c r="K457" s="20"/>
      <c r="L457" s="14"/>
      <c r="M457" s="68"/>
      <c r="N457" s="68"/>
      <c r="O457" s="14"/>
    </row>
    <row r="458" spans="4:15" s="25" customFormat="1">
      <c r="D458" s="24"/>
      <c r="E458" s="24"/>
      <c r="F458" s="64"/>
      <c r="G458" s="64"/>
      <c r="H458" s="20"/>
      <c r="I458" s="12"/>
      <c r="J458" s="72"/>
      <c r="K458" s="20"/>
      <c r="L458" s="14"/>
      <c r="M458" s="68"/>
      <c r="N458" s="68"/>
      <c r="O458" s="14"/>
    </row>
    <row r="459" spans="4:15" s="25" customFormat="1">
      <c r="D459" s="24"/>
      <c r="E459" s="24"/>
      <c r="F459" s="64"/>
      <c r="G459" s="64"/>
      <c r="H459" s="20"/>
      <c r="I459" s="12"/>
      <c r="J459" s="72"/>
      <c r="K459" s="20"/>
      <c r="L459" s="14"/>
      <c r="M459" s="68"/>
      <c r="N459" s="68"/>
      <c r="O459" s="14"/>
    </row>
    <row r="460" spans="4:15" s="25" customFormat="1">
      <c r="D460" s="24"/>
      <c r="E460" s="24"/>
      <c r="F460" s="64"/>
      <c r="G460" s="64"/>
      <c r="H460" s="20"/>
      <c r="I460" s="12"/>
      <c r="J460" s="72"/>
      <c r="K460" s="20"/>
      <c r="L460" s="14"/>
      <c r="M460" s="68"/>
      <c r="N460" s="68"/>
      <c r="O460" s="14"/>
    </row>
    <row r="461" spans="4:15" s="25" customFormat="1">
      <c r="D461" s="24"/>
      <c r="E461" s="24"/>
      <c r="F461" s="64"/>
      <c r="G461" s="64"/>
      <c r="H461" s="20"/>
      <c r="I461" s="12"/>
      <c r="J461" s="72"/>
      <c r="K461" s="20"/>
      <c r="L461" s="14"/>
      <c r="M461" s="68"/>
      <c r="N461" s="68"/>
      <c r="O461" s="14"/>
    </row>
    <row r="462" spans="4:15" s="25" customFormat="1">
      <c r="D462" s="24"/>
      <c r="E462" s="24"/>
      <c r="F462" s="64"/>
      <c r="G462" s="64"/>
      <c r="H462" s="20"/>
      <c r="I462" s="12"/>
      <c r="J462" s="72"/>
      <c r="K462" s="20"/>
      <c r="L462" s="14"/>
      <c r="M462" s="68"/>
      <c r="N462" s="68"/>
      <c r="O462" s="14"/>
    </row>
    <row r="463" spans="4:15" s="25" customFormat="1">
      <c r="D463" s="24"/>
      <c r="E463" s="24"/>
      <c r="F463" s="64"/>
      <c r="G463" s="64"/>
      <c r="H463" s="20"/>
      <c r="I463" s="12"/>
      <c r="J463" s="72"/>
      <c r="K463" s="20"/>
      <c r="L463" s="14"/>
      <c r="M463" s="68"/>
      <c r="N463" s="68"/>
      <c r="O463" s="14"/>
    </row>
    <row r="464" spans="4:15" s="25" customFormat="1">
      <c r="D464" s="24"/>
      <c r="E464" s="24"/>
      <c r="F464" s="64"/>
      <c r="G464" s="64"/>
      <c r="H464" s="20"/>
      <c r="I464" s="12"/>
      <c r="J464" s="72"/>
      <c r="K464" s="20"/>
      <c r="L464" s="14"/>
      <c r="M464" s="68"/>
      <c r="N464" s="68"/>
      <c r="O464" s="14"/>
    </row>
    <row r="465" spans="4:15" s="25" customFormat="1">
      <c r="D465" s="24"/>
      <c r="E465" s="24"/>
      <c r="F465" s="64"/>
      <c r="G465" s="64"/>
      <c r="H465" s="20"/>
      <c r="I465" s="12"/>
      <c r="J465" s="72"/>
      <c r="K465" s="20"/>
      <c r="L465" s="14"/>
      <c r="M465" s="68"/>
      <c r="N465" s="68"/>
      <c r="O465" s="14"/>
    </row>
    <row r="466" spans="4:15" s="25" customFormat="1">
      <c r="D466" s="24"/>
      <c r="E466" s="24"/>
      <c r="F466" s="64"/>
      <c r="G466" s="64"/>
      <c r="H466" s="20"/>
      <c r="I466" s="12"/>
      <c r="J466" s="72"/>
      <c r="K466" s="20"/>
      <c r="L466" s="14"/>
      <c r="M466" s="68"/>
      <c r="N466" s="68"/>
      <c r="O466" s="14"/>
    </row>
    <row r="467" spans="4:15" s="25" customFormat="1">
      <c r="D467" s="24"/>
      <c r="E467" s="24"/>
      <c r="F467" s="64"/>
      <c r="G467" s="64"/>
      <c r="H467" s="20"/>
      <c r="I467" s="12"/>
      <c r="J467" s="72"/>
      <c r="K467" s="20"/>
      <c r="L467" s="14"/>
      <c r="M467" s="68"/>
      <c r="N467" s="68"/>
      <c r="O467" s="14"/>
    </row>
    <row r="468" spans="4:15" s="25" customFormat="1">
      <c r="D468" s="24"/>
      <c r="E468" s="24"/>
      <c r="F468" s="64"/>
      <c r="G468" s="64"/>
      <c r="H468" s="20"/>
      <c r="I468" s="12"/>
      <c r="J468" s="72"/>
      <c r="K468" s="20"/>
      <c r="L468" s="14"/>
      <c r="M468" s="68"/>
      <c r="N468" s="68"/>
      <c r="O468" s="14"/>
    </row>
    <row r="469" spans="4:15" s="25" customFormat="1">
      <c r="D469" s="24"/>
      <c r="E469" s="24"/>
      <c r="F469" s="64"/>
      <c r="G469" s="64"/>
      <c r="H469" s="20"/>
      <c r="I469" s="12"/>
      <c r="J469" s="72"/>
      <c r="K469" s="20"/>
      <c r="L469" s="14"/>
      <c r="M469" s="68"/>
      <c r="N469" s="68"/>
      <c r="O469" s="14"/>
    </row>
    <row r="470" spans="4:15" s="25" customFormat="1">
      <c r="D470" s="24"/>
      <c r="E470" s="24"/>
      <c r="F470" s="64"/>
      <c r="G470" s="64"/>
      <c r="H470" s="20"/>
      <c r="I470" s="12"/>
      <c r="J470" s="72"/>
      <c r="K470" s="20"/>
      <c r="L470" s="14"/>
      <c r="M470" s="68"/>
      <c r="N470" s="68"/>
      <c r="O470" s="14"/>
    </row>
    <row r="471" spans="4:15" s="25" customFormat="1">
      <c r="D471" s="24"/>
      <c r="E471" s="24"/>
      <c r="F471" s="64"/>
      <c r="G471" s="64"/>
      <c r="H471" s="20"/>
      <c r="I471" s="12"/>
      <c r="J471" s="72"/>
      <c r="K471" s="20"/>
      <c r="L471" s="14"/>
      <c r="M471" s="68"/>
      <c r="N471" s="68"/>
      <c r="O471" s="14"/>
    </row>
    <row r="472" spans="4:15" s="25" customFormat="1">
      <c r="D472" s="24"/>
      <c r="E472" s="24"/>
      <c r="F472" s="64"/>
      <c r="G472" s="64"/>
      <c r="H472" s="20"/>
      <c r="I472" s="12"/>
      <c r="J472" s="72"/>
      <c r="K472" s="20"/>
      <c r="L472" s="14"/>
      <c r="M472" s="68"/>
      <c r="N472" s="68"/>
      <c r="O472" s="14"/>
    </row>
    <row r="473" spans="4:15" s="25" customFormat="1">
      <c r="D473" s="24"/>
      <c r="E473" s="24"/>
      <c r="F473" s="64"/>
      <c r="G473" s="64"/>
      <c r="H473" s="20"/>
      <c r="I473" s="12"/>
      <c r="J473" s="72"/>
      <c r="K473" s="20"/>
      <c r="L473" s="14"/>
      <c r="M473" s="68"/>
      <c r="N473" s="68"/>
      <c r="O473" s="14"/>
    </row>
    <row r="474" spans="4:15" s="25" customFormat="1">
      <c r="D474" s="24"/>
      <c r="E474" s="24"/>
      <c r="F474" s="64"/>
      <c r="G474" s="64"/>
      <c r="H474" s="20"/>
      <c r="I474" s="12"/>
      <c r="J474" s="72"/>
      <c r="K474" s="20"/>
      <c r="L474" s="14"/>
      <c r="M474" s="68"/>
      <c r="N474" s="68"/>
      <c r="O474" s="14"/>
    </row>
    <row r="475" spans="4:15" s="25" customFormat="1">
      <c r="D475" s="24"/>
      <c r="E475" s="24"/>
      <c r="F475" s="64"/>
      <c r="G475" s="64"/>
      <c r="H475" s="20"/>
      <c r="I475" s="12"/>
      <c r="J475" s="72"/>
      <c r="K475" s="20"/>
      <c r="L475" s="14"/>
      <c r="M475" s="68"/>
      <c r="N475" s="68"/>
      <c r="O475" s="14"/>
    </row>
    <row r="476" spans="4:15" s="25" customFormat="1">
      <c r="D476" s="24"/>
      <c r="E476" s="24"/>
      <c r="F476" s="64"/>
      <c r="G476" s="64"/>
      <c r="H476" s="20"/>
      <c r="I476" s="12"/>
      <c r="J476" s="72"/>
      <c r="K476" s="20"/>
      <c r="L476" s="14"/>
      <c r="M476" s="68"/>
      <c r="N476" s="68"/>
      <c r="O476" s="14"/>
    </row>
    <row r="477" spans="4:15" s="25" customFormat="1">
      <c r="D477" s="24"/>
      <c r="E477" s="24"/>
      <c r="F477" s="64"/>
      <c r="G477" s="64"/>
      <c r="H477" s="20"/>
      <c r="I477" s="12"/>
      <c r="J477" s="72"/>
      <c r="K477" s="20"/>
      <c r="L477" s="14"/>
      <c r="M477" s="68"/>
      <c r="N477" s="68"/>
      <c r="O477" s="14"/>
    </row>
    <row r="478" spans="4:15" s="25" customFormat="1">
      <c r="D478" s="24"/>
      <c r="E478" s="24"/>
      <c r="F478" s="64"/>
      <c r="G478" s="64"/>
      <c r="H478" s="20"/>
      <c r="I478" s="12"/>
      <c r="J478" s="72"/>
      <c r="K478" s="20"/>
      <c r="L478" s="14"/>
      <c r="M478" s="68"/>
      <c r="N478" s="68"/>
      <c r="O478" s="14"/>
    </row>
    <row r="479" spans="4:15" s="25" customFormat="1">
      <c r="D479" s="24"/>
      <c r="E479" s="24"/>
      <c r="F479" s="64"/>
      <c r="G479" s="64"/>
      <c r="H479" s="20"/>
      <c r="I479" s="12"/>
      <c r="J479" s="72"/>
      <c r="K479" s="20"/>
      <c r="L479" s="14"/>
      <c r="M479" s="68"/>
      <c r="N479" s="68"/>
      <c r="O479" s="14"/>
    </row>
    <row r="480" spans="4:15" s="25" customFormat="1">
      <c r="D480" s="24"/>
      <c r="E480" s="24"/>
      <c r="F480" s="64"/>
      <c r="G480" s="64"/>
      <c r="H480" s="20"/>
      <c r="I480" s="12"/>
      <c r="J480" s="72"/>
      <c r="K480" s="20"/>
      <c r="L480" s="14"/>
      <c r="M480" s="68"/>
      <c r="N480" s="68"/>
      <c r="O480" s="14"/>
    </row>
    <row r="481" spans="4:15" s="25" customFormat="1">
      <c r="D481" s="24"/>
      <c r="E481" s="24"/>
      <c r="F481" s="64"/>
      <c r="G481" s="64"/>
      <c r="H481" s="20"/>
      <c r="I481" s="12"/>
      <c r="J481" s="72"/>
      <c r="K481" s="20"/>
      <c r="L481" s="14"/>
      <c r="M481" s="68"/>
      <c r="N481" s="68"/>
      <c r="O481" s="14"/>
    </row>
    <row r="482" spans="4:15" s="25" customFormat="1">
      <c r="D482" s="24"/>
      <c r="E482" s="24"/>
      <c r="F482" s="64"/>
      <c r="G482" s="64"/>
      <c r="H482" s="20"/>
      <c r="I482" s="12"/>
      <c r="J482" s="72"/>
      <c r="K482" s="20"/>
      <c r="L482" s="14"/>
      <c r="M482" s="68"/>
      <c r="N482" s="68"/>
      <c r="O482" s="14"/>
    </row>
    <row r="483" spans="4:15" s="25" customFormat="1">
      <c r="D483" s="24"/>
      <c r="E483" s="24"/>
      <c r="F483" s="64"/>
      <c r="G483" s="64"/>
      <c r="H483" s="20"/>
      <c r="I483" s="12"/>
      <c r="J483" s="72"/>
      <c r="K483" s="20"/>
      <c r="L483" s="14"/>
      <c r="M483" s="68"/>
      <c r="N483" s="68"/>
      <c r="O483" s="14"/>
    </row>
    <row r="484" spans="4:15" s="25" customFormat="1">
      <c r="D484" s="24"/>
      <c r="E484" s="24"/>
      <c r="F484" s="64"/>
      <c r="G484" s="64"/>
      <c r="H484" s="20"/>
      <c r="I484" s="12"/>
      <c r="J484" s="72"/>
      <c r="K484" s="20"/>
      <c r="L484" s="14"/>
      <c r="M484" s="68"/>
      <c r="N484" s="68"/>
      <c r="O484" s="14"/>
    </row>
    <row r="485" spans="4:15" s="25" customFormat="1">
      <c r="D485" s="24"/>
      <c r="E485" s="24"/>
      <c r="F485" s="64"/>
      <c r="G485" s="64"/>
      <c r="H485" s="20"/>
      <c r="I485" s="12"/>
      <c r="J485" s="72"/>
      <c r="K485" s="20"/>
      <c r="L485" s="14"/>
      <c r="M485" s="68"/>
      <c r="N485" s="68"/>
      <c r="O485" s="14"/>
    </row>
    <row r="486" spans="4:15" s="25" customFormat="1">
      <c r="D486" s="24"/>
      <c r="E486" s="24"/>
      <c r="F486" s="64"/>
      <c r="G486" s="64"/>
      <c r="H486" s="20"/>
      <c r="I486" s="12"/>
      <c r="J486" s="72"/>
      <c r="K486" s="20"/>
      <c r="L486" s="14"/>
      <c r="M486" s="68"/>
      <c r="N486" s="68"/>
      <c r="O486" s="14"/>
    </row>
    <row r="487" spans="4:15" s="25" customFormat="1">
      <c r="D487" s="24"/>
      <c r="E487" s="24"/>
      <c r="F487" s="64"/>
      <c r="G487" s="64"/>
      <c r="H487" s="20"/>
      <c r="I487" s="12"/>
      <c r="J487" s="72"/>
      <c r="K487" s="20"/>
      <c r="L487" s="14"/>
      <c r="M487" s="68"/>
      <c r="N487" s="68"/>
      <c r="O487" s="14"/>
    </row>
    <row r="488" spans="4:15" s="25" customFormat="1">
      <c r="D488" s="24"/>
      <c r="E488" s="24"/>
      <c r="F488" s="64"/>
      <c r="G488" s="64"/>
      <c r="H488" s="20"/>
      <c r="I488" s="12"/>
      <c r="J488" s="72"/>
      <c r="K488" s="20"/>
      <c r="L488" s="14"/>
      <c r="M488" s="68"/>
      <c r="N488" s="68"/>
      <c r="O488" s="14"/>
    </row>
    <row r="489" spans="4:15" s="25" customFormat="1">
      <c r="D489" s="24"/>
      <c r="E489" s="24"/>
      <c r="F489" s="64"/>
      <c r="G489" s="64"/>
      <c r="H489" s="20"/>
      <c r="I489" s="12"/>
      <c r="J489" s="72"/>
      <c r="K489" s="20"/>
      <c r="L489" s="14"/>
      <c r="M489" s="68"/>
      <c r="N489" s="68"/>
      <c r="O489" s="14"/>
    </row>
    <row r="490" spans="4:15" s="25" customFormat="1">
      <c r="D490" s="24"/>
      <c r="E490" s="24"/>
      <c r="F490" s="64"/>
      <c r="G490" s="64"/>
      <c r="H490" s="20"/>
      <c r="I490" s="12"/>
      <c r="J490" s="72"/>
      <c r="K490" s="20"/>
      <c r="L490" s="14"/>
      <c r="M490" s="68"/>
      <c r="N490" s="68"/>
      <c r="O490" s="14"/>
    </row>
    <row r="491" spans="4:15" s="25" customFormat="1">
      <c r="D491" s="24"/>
      <c r="E491" s="24"/>
      <c r="F491" s="64"/>
      <c r="G491" s="64"/>
      <c r="H491" s="20"/>
      <c r="I491" s="12"/>
      <c r="J491" s="72"/>
      <c r="K491" s="20"/>
      <c r="L491" s="14"/>
      <c r="M491" s="68"/>
      <c r="N491" s="68"/>
      <c r="O491" s="14"/>
    </row>
    <row r="492" spans="4:15" s="25" customFormat="1">
      <c r="D492" s="24"/>
      <c r="E492" s="24"/>
      <c r="F492" s="64"/>
      <c r="G492" s="64"/>
      <c r="H492" s="20"/>
      <c r="I492" s="12"/>
      <c r="J492" s="72"/>
      <c r="K492" s="20"/>
      <c r="L492" s="14"/>
      <c r="M492" s="68"/>
      <c r="N492" s="68"/>
      <c r="O492" s="14"/>
    </row>
    <row r="493" spans="4:15" s="25" customFormat="1">
      <c r="D493" s="24"/>
      <c r="E493" s="24"/>
      <c r="F493" s="64"/>
      <c r="G493" s="64"/>
      <c r="H493" s="20"/>
      <c r="I493" s="12"/>
      <c r="J493" s="72"/>
      <c r="K493" s="20"/>
      <c r="L493" s="14"/>
      <c r="M493" s="68"/>
      <c r="N493" s="68"/>
      <c r="O493" s="14"/>
    </row>
    <row r="494" spans="4:15" s="25" customFormat="1">
      <c r="D494" s="24"/>
      <c r="E494" s="24"/>
      <c r="F494" s="64"/>
      <c r="G494" s="64"/>
      <c r="H494" s="20"/>
      <c r="I494" s="12"/>
      <c r="J494" s="72"/>
      <c r="K494" s="20"/>
      <c r="L494" s="14"/>
      <c r="M494" s="68"/>
      <c r="N494" s="68"/>
      <c r="O494" s="14"/>
    </row>
    <row r="495" spans="4:15" s="25" customFormat="1">
      <c r="D495" s="24"/>
      <c r="E495" s="24"/>
      <c r="F495" s="64"/>
      <c r="G495" s="64"/>
      <c r="H495" s="20"/>
      <c r="I495" s="12"/>
      <c r="J495" s="72"/>
      <c r="K495" s="20"/>
      <c r="L495" s="14"/>
      <c r="M495" s="68"/>
      <c r="N495" s="68"/>
      <c r="O495" s="14"/>
    </row>
    <row r="496" spans="4:15" s="25" customFormat="1">
      <c r="D496" s="24"/>
      <c r="E496" s="24"/>
      <c r="F496" s="64"/>
      <c r="G496" s="64"/>
      <c r="H496" s="20"/>
      <c r="I496" s="12"/>
      <c r="J496" s="72"/>
      <c r="K496" s="20"/>
      <c r="L496" s="14"/>
      <c r="M496" s="68"/>
      <c r="N496" s="68"/>
      <c r="O496" s="14"/>
    </row>
    <row r="497" spans="4:15" s="25" customFormat="1">
      <c r="D497" s="24"/>
      <c r="E497" s="24"/>
      <c r="F497" s="64"/>
      <c r="G497" s="64"/>
      <c r="H497" s="20"/>
      <c r="I497" s="12"/>
      <c r="J497" s="72"/>
      <c r="K497" s="20"/>
      <c r="L497" s="14"/>
      <c r="M497" s="68"/>
      <c r="N497" s="68"/>
      <c r="O497" s="14"/>
    </row>
    <row r="498" spans="4:15" s="25" customFormat="1">
      <c r="D498" s="24"/>
      <c r="E498" s="24"/>
      <c r="F498" s="64"/>
      <c r="G498" s="64"/>
      <c r="H498" s="20"/>
      <c r="I498" s="12"/>
      <c r="J498" s="72"/>
      <c r="K498" s="20"/>
      <c r="L498" s="14"/>
      <c r="M498" s="68"/>
      <c r="N498" s="68"/>
      <c r="O498" s="14"/>
    </row>
    <row r="499" spans="4:15" s="25" customFormat="1">
      <c r="D499" s="24"/>
      <c r="E499" s="24"/>
      <c r="F499" s="64"/>
      <c r="G499" s="64"/>
      <c r="H499" s="20"/>
      <c r="I499" s="12"/>
      <c r="J499" s="72"/>
      <c r="K499" s="20"/>
      <c r="L499" s="14"/>
      <c r="M499" s="68"/>
      <c r="N499" s="68"/>
      <c r="O499" s="14"/>
    </row>
    <row r="500" spans="4:15" s="25" customFormat="1">
      <c r="D500" s="24"/>
      <c r="E500" s="24"/>
      <c r="F500" s="64"/>
      <c r="G500" s="64"/>
      <c r="H500" s="20"/>
      <c r="I500" s="12"/>
      <c r="J500" s="72"/>
      <c r="K500" s="20"/>
      <c r="L500" s="14"/>
      <c r="M500" s="68"/>
      <c r="N500" s="68"/>
      <c r="O500" s="14"/>
    </row>
    <row r="501" spans="4:15" s="25" customFormat="1">
      <c r="D501" s="24"/>
      <c r="E501" s="24"/>
      <c r="F501" s="64"/>
      <c r="G501" s="64"/>
      <c r="H501" s="20"/>
      <c r="I501" s="12"/>
      <c r="J501" s="72"/>
      <c r="K501" s="20"/>
      <c r="L501" s="14"/>
      <c r="M501" s="68"/>
      <c r="N501" s="68"/>
      <c r="O501" s="14"/>
    </row>
    <row r="502" spans="4:15" s="25" customFormat="1">
      <c r="D502" s="24"/>
      <c r="E502" s="24"/>
      <c r="F502" s="64"/>
      <c r="G502" s="64"/>
      <c r="H502" s="20"/>
      <c r="I502" s="12"/>
      <c r="J502" s="72"/>
      <c r="K502" s="20"/>
      <c r="L502" s="14"/>
      <c r="M502" s="68"/>
      <c r="N502" s="68"/>
      <c r="O502" s="14"/>
    </row>
    <row r="503" spans="4:15" s="25" customFormat="1">
      <c r="D503" s="24"/>
      <c r="E503" s="24"/>
      <c r="F503" s="64"/>
      <c r="G503" s="64"/>
      <c r="H503" s="20"/>
      <c r="I503" s="12"/>
      <c r="J503" s="72"/>
      <c r="K503" s="20"/>
      <c r="L503" s="14"/>
      <c r="M503" s="68"/>
      <c r="N503" s="68"/>
      <c r="O503" s="14"/>
    </row>
    <row r="504" spans="4:15" s="25" customFormat="1">
      <c r="D504" s="24"/>
      <c r="E504" s="24"/>
      <c r="F504" s="64"/>
      <c r="G504" s="64"/>
      <c r="H504" s="20"/>
      <c r="I504" s="12"/>
      <c r="J504" s="72"/>
      <c r="K504" s="20"/>
      <c r="L504" s="14"/>
      <c r="M504" s="68"/>
      <c r="N504" s="68"/>
      <c r="O504" s="14"/>
    </row>
    <row r="505" spans="4:15" s="25" customFormat="1">
      <c r="D505" s="24"/>
      <c r="E505" s="24"/>
      <c r="F505" s="64"/>
      <c r="G505" s="64"/>
      <c r="H505" s="20"/>
      <c r="I505" s="12"/>
      <c r="J505" s="72"/>
      <c r="K505" s="20"/>
      <c r="L505" s="14"/>
      <c r="M505" s="68"/>
      <c r="N505" s="68"/>
      <c r="O505" s="14"/>
    </row>
    <row r="506" spans="4:15" s="25" customFormat="1">
      <c r="D506" s="24"/>
      <c r="E506" s="24"/>
      <c r="F506" s="64"/>
      <c r="G506" s="64"/>
      <c r="H506" s="20"/>
      <c r="I506" s="12"/>
      <c r="J506" s="72"/>
      <c r="K506" s="20"/>
      <c r="L506" s="14"/>
      <c r="M506" s="68"/>
      <c r="N506" s="68"/>
      <c r="O506" s="14"/>
    </row>
    <row r="507" spans="4:15" s="25" customFormat="1">
      <c r="D507" s="24"/>
      <c r="E507" s="24"/>
      <c r="F507" s="64"/>
      <c r="G507" s="64"/>
      <c r="H507" s="20"/>
      <c r="I507" s="12"/>
      <c r="J507" s="72"/>
      <c r="K507" s="20"/>
      <c r="L507" s="14"/>
      <c r="M507" s="68"/>
      <c r="N507" s="68"/>
      <c r="O507" s="14"/>
    </row>
    <row r="508" spans="4:15" s="25" customFormat="1">
      <c r="D508" s="24"/>
      <c r="E508" s="24"/>
      <c r="F508" s="64"/>
      <c r="G508" s="64"/>
      <c r="H508" s="20"/>
      <c r="I508" s="12"/>
      <c r="J508" s="72"/>
      <c r="K508" s="20"/>
      <c r="L508" s="14"/>
      <c r="M508" s="68"/>
      <c r="N508" s="68"/>
      <c r="O508" s="14"/>
    </row>
    <row r="509" spans="4:15" s="25" customFormat="1">
      <c r="D509" s="24"/>
      <c r="E509" s="24"/>
      <c r="F509" s="64"/>
      <c r="G509" s="64"/>
      <c r="H509" s="20"/>
      <c r="I509" s="12"/>
      <c r="J509" s="72"/>
      <c r="K509" s="20"/>
      <c r="L509" s="14"/>
      <c r="M509" s="68"/>
      <c r="N509" s="68"/>
      <c r="O509" s="14"/>
    </row>
    <row r="510" spans="4:15" s="25" customFormat="1">
      <c r="D510" s="24"/>
      <c r="E510" s="24"/>
      <c r="F510" s="64"/>
      <c r="G510" s="64"/>
      <c r="H510" s="20"/>
      <c r="I510" s="12"/>
      <c r="J510" s="72"/>
      <c r="K510" s="20"/>
      <c r="L510" s="14"/>
      <c r="M510" s="68"/>
      <c r="N510" s="68"/>
      <c r="O510" s="14"/>
    </row>
    <row r="511" spans="4:15" s="25" customFormat="1">
      <c r="D511" s="24"/>
      <c r="E511" s="24"/>
      <c r="F511" s="64"/>
      <c r="G511" s="64"/>
      <c r="H511" s="20"/>
      <c r="I511" s="12"/>
      <c r="J511" s="72"/>
      <c r="K511" s="20"/>
      <c r="L511" s="14"/>
      <c r="M511" s="68"/>
      <c r="N511" s="68"/>
      <c r="O511" s="14"/>
    </row>
    <row r="512" spans="4:15" s="25" customFormat="1">
      <c r="D512" s="24"/>
      <c r="E512" s="24"/>
      <c r="F512" s="64"/>
      <c r="G512" s="64"/>
      <c r="H512" s="20"/>
      <c r="I512" s="12"/>
      <c r="J512" s="72"/>
      <c r="K512" s="20"/>
      <c r="L512" s="14"/>
      <c r="M512" s="68"/>
      <c r="N512" s="68"/>
      <c r="O512" s="14"/>
    </row>
    <row r="513" spans="4:15" s="25" customFormat="1">
      <c r="D513" s="24"/>
      <c r="E513" s="24"/>
      <c r="F513" s="64"/>
      <c r="G513" s="64"/>
      <c r="H513" s="20"/>
      <c r="I513" s="12"/>
      <c r="J513" s="72"/>
      <c r="K513" s="20"/>
      <c r="L513" s="14"/>
      <c r="M513" s="68"/>
      <c r="N513" s="68"/>
      <c r="O513" s="14"/>
    </row>
    <row r="514" spans="4:15" s="25" customFormat="1">
      <c r="D514" s="24"/>
      <c r="E514" s="24"/>
      <c r="F514" s="64"/>
      <c r="G514" s="64"/>
      <c r="H514" s="20"/>
      <c r="I514" s="12"/>
      <c r="J514" s="72"/>
      <c r="K514" s="20"/>
      <c r="L514" s="14"/>
      <c r="M514" s="68"/>
      <c r="N514" s="68"/>
      <c r="O514" s="14"/>
    </row>
    <row r="515" spans="4:15" s="25" customFormat="1">
      <c r="D515" s="24"/>
      <c r="E515" s="24"/>
      <c r="F515" s="64"/>
      <c r="G515" s="64"/>
      <c r="H515" s="20"/>
      <c r="I515" s="12"/>
      <c r="J515" s="72"/>
      <c r="K515" s="20"/>
      <c r="L515" s="14"/>
      <c r="M515" s="68"/>
      <c r="N515" s="68"/>
      <c r="O515" s="14"/>
    </row>
    <row r="516" spans="4:15" s="25" customFormat="1">
      <c r="D516" s="24"/>
      <c r="E516" s="24"/>
      <c r="F516" s="64"/>
      <c r="G516" s="64"/>
      <c r="H516" s="20"/>
      <c r="I516" s="12"/>
      <c r="J516" s="72"/>
      <c r="K516" s="20"/>
      <c r="L516" s="14"/>
      <c r="M516" s="68"/>
      <c r="N516" s="68"/>
      <c r="O516" s="14"/>
    </row>
    <row r="517" spans="4:15" s="25" customFormat="1">
      <c r="D517" s="24"/>
      <c r="E517" s="24"/>
      <c r="F517" s="64"/>
      <c r="G517" s="64"/>
      <c r="H517" s="20"/>
      <c r="I517" s="12"/>
      <c r="J517" s="72"/>
      <c r="K517" s="20"/>
      <c r="L517" s="14"/>
      <c r="M517" s="68"/>
      <c r="N517" s="68"/>
      <c r="O517" s="14"/>
    </row>
    <row r="518" spans="4:15" s="25" customFormat="1">
      <c r="D518" s="24"/>
      <c r="E518" s="24"/>
      <c r="F518" s="64"/>
      <c r="G518" s="64"/>
      <c r="H518" s="20"/>
      <c r="I518" s="12"/>
      <c r="J518" s="72"/>
      <c r="K518" s="20"/>
      <c r="L518" s="14"/>
      <c r="M518" s="68"/>
      <c r="N518" s="68"/>
      <c r="O518" s="14"/>
    </row>
    <row r="519" spans="4:15" s="25" customFormat="1">
      <c r="D519" s="24"/>
      <c r="E519" s="24"/>
      <c r="F519" s="64"/>
      <c r="G519" s="64"/>
      <c r="H519" s="20"/>
      <c r="I519" s="12"/>
      <c r="J519" s="72"/>
      <c r="K519" s="20"/>
      <c r="L519" s="14"/>
      <c r="M519" s="68"/>
      <c r="N519" s="68"/>
      <c r="O519" s="14"/>
    </row>
    <row r="520" spans="4:15" s="25" customFormat="1">
      <c r="D520" s="24"/>
      <c r="E520" s="24"/>
      <c r="F520" s="64"/>
      <c r="G520" s="64"/>
      <c r="H520" s="20"/>
      <c r="I520" s="12"/>
      <c r="J520" s="72"/>
      <c r="K520" s="20"/>
      <c r="L520" s="14"/>
      <c r="M520" s="68"/>
      <c r="N520" s="68"/>
      <c r="O520" s="14"/>
    </row>
    <row r="521" spans="4:15" s="25" customFormat="1">
      <c r="D521" s="24"/>
      <c r="E521" s="24"/>
      <c r="F521" s="64"/>
      <c r="G521" s="64"/>
      <c r="H521" s="20"/>
      <c r="I521" s="12"/>
      <c r="J521" s="72"/>
      <c r="K521" s="20"/>
      <c r="L521" s="14"/>
      <c r="M521" s="68"/>
      <c r="N521" s="68"/>
      <c r="O521" s="14"/>
    </row>
    <row r="522" spans="4:15" s="25" customFormat="1">
      <c r="D522" s="24"/>
      <c r="E522" s="24"/>
      <c r="F522" s="64"/>
      <c r="G522" s="64"/>
      <c r="H522" s="20"/>
      <c r="I522" s="12"/>
      <c r="J522" s="72"/>
      <c r="K522" s="20"/>
      <c r="L522" s="14"/>
      <c r="M522" s="68"/>
      <c r="N522" s="68"/>
      <c r="O522" s="14"/>
    </row>
    <row r="523" spans="4:15" s="25" customFormat="1">
      <c r="D523" s="24"/>
      <c r="E523" s="24"/>
      <c r="F523" s="64"/>
      <c r="G523" s="64"/>
      <c r="H523" s="20"/>
      <c r="I523" s="12"/>
      <c r="J523" s="72"/>
      <c r="K523" s="20"/>
      <c r="L523" s="14"/>
      <c r="M523" s="68"/>
      <c r="N523" s="68"/>
      <c r="O523" s="14"/>
    </row>
    <row r="524" spans="4:15" s="25" customFormat="1">
      <c r="D524" s="24"/>
      <c r="E524" s="24"/>
      <c r="F524" s="64"/>
      <c r="G524" s="64"/>
      <c r="H524" s="20"/>
      <c r="I524" s="12"/>
      <c r="J524" s="72"/>
      <c r="K524" s="20"/>
      <c r="L524" s="14"/>
      <c r="M524" s="68"/>
      <c r="N524" s="68"/>
      <c r="O524" s="14"/>
    </row>
    <row r="525" spans="4:15" s="25" customFormat="1">
      <c r="D525" s="24"/>
      <c r="E525" s="24"/>
      <c r="F525" s="64"/>
      <c r="G525" s="64"/>
      <c r="H525" s="20"/>
      <c r="I525" s="12"/>
      <c r="J525" s="72"/>
      <c r="K525" s="20"/>
      <c r="L525" s="14"/>
      <c r="M525" s="68"/>
      <c r="N525" s="68"/>
      <c r="O525" s="14"/>
    </row>
    <row r="526" spans="4:15" s="25" customFormat="1">
      <c r="D526" s="24"/>
      <c r="E526" s="24"/>
      <c r="F526" s="64"/>
      <c r="G526" s="64"/>
      <c r="H526" s="20"/>
      <c r="I526" s="12"/>
      <c r="J526" s="72"/>
      <c r="K526" s="20"/>
      <c r="L526" s="14"/>
      <c r="M526" s="68"/>
      <c r="N526" s="68"/>
      <c r="O526" s="14"/>
    </row>
    <row r="527" spans="4:15" s="25" customFormat="1">
      <c r="D527" s="24"/>
      <c r="E527" s="24"/>
      <c r="F527" s="64"/>
      <c r="G527" s="64"/>
      <c r="H527" s="20"/>
      <c r="I527" s="12"/>
      <c r="J527" s="72"/>
      <c r="K527" s="20"/>
      <c r="L527" s="14"/>
      <c r="M527" s="68"/>
      <c r="N527" s="68"/>
      <c r="O527" s="14"/>
    </row>
    <row r="528" spans="4:15" s="25" customFormat="1">
      <c r="D528" s="24"/>
      <c r="E528" s="24"/>
      <c r="F528" s="64"/>
      <c r="G528" s="64"/>
      <c r="H528" s="20"/>
      <c r="I528" s="12"/>
      <c r="J528" s="72"/>
      <c r="K528" s="20"/>
      <c r="L528" s="14"/>
      <c r="M528" s="68"/>
      <c r="N528" s="68"/>
      <c r="O528" s="14"/>
    </row>
    <row r="529" spans="4:15" s="25" customFormat="1">
      <c r="D529" s="24"/>
      <c r="E529" s="24"/>
      <c r="F529" s="64"/>
      <c r="G529" s="64"/>
      <c r="H529" s="20"/>
      <c r="I529" s="12"/>
      <c r="J529" s="72"/>
      <c r="K529" s="20"/>
      <c r="L529" s="14"/>
      <c r="M529" s="68"/>
      <c r="N529" s="68"/>
      <c r="O529" s="14"/>
    </row>
    <row r="530" spans="4:15" s="25" customFormat="1">
      <c r="D530" s="24"/>
      <c r="E530" s="24"/>
      <c r="F530" s="64"/>
      <c r="G530" s="64"/>
      <c r="H530" s="20"/>
      <c r="I530" s="12"/>
      <c r="J530" s="72"/>
      <c r="K530" s="20"/>
      <c r="L530" s="14"/>
      <c r="M530" s="68"/>
      <c r="N530" s="68"/>
      <c r="O530" s="14"/>
    </row>
    <row r="531" spans="4:15" s="25" customFormat="1">
      <c r="D531" s="24"/>
      <c r="E531" s="24"/>
      <c r="F531" s="64"/>
      <c r="G531" s="64"/>
      <c r="H531" s="20"/>
      <c r="I531" s="12"/>
      <c r="J531" s="72"/>
      <c r="K531" s="20"/>
      <c r="L531" s="14"/>
      <c r="M531" s="68"/>
      <c r="N531" s="68"/>
      <c r="O531" s="14"/>
    </row>
    <row r="532" spans="4:15" s="25" customFormat="1">
      <c r="D532" s="24"/>
      <c r="E532" s="24"/>
      <c r="F532" s="64"/>
      <c r="G532" s="64"/>
      <c r="H532" s="20"/>
      <c r="I532" s="12"/>
      <c r="J532" s="72"/>
      <c r="K532" s="20"/>
      <c r="L532" s="14"/>
      <c r="M532" s="68"/>
      <c r="N532" s="68"/>
      <c r="O532" s="14"/>
    </row>
    <row r="533" spans="4:15" s="25" customFormat="1">
      <c r="D533" s="24"/>
      <c r="E533" s="24"/>
      <c r="F533" s="64"/>
      <c r="G533" s="64"/>
      <c r="H533" s="20"/>
      <c r="I533" s="12"/>
      <c r="J533" s="72"/>
      <c r="K533" s="20"/>
      <c r="L533" s="14"/>
      <c r="M533" s="68"/>
      <c r="N533" s="68"/>
      <c r="O533" s="14"/>
    </row>
    <row r="534" spans="4:15" s="25" customFormat="1">
      <c r="D534" s="24"/>
      <c r="E534" s="24"/>
      <c r="F534" s="64"/>
      <c r="G534" s="64"/>
      <c r="H534" s="20"/>
      <c r="I534" s="12"/>
      <c r="J534" s="72"/>
      <c r="K534" s="20"/>
      <c r="L534" s="14"/>
      <c r="M534" s="68"/>
      <c r="N534" s="68"/>
      <c r="O534" s="14"/>
    </row>
    <row r="535" spans="4:15" s="25" customFormat="1">
      <c r="D535" s="24"/>
      <c r="E535" s="24"/>
      <c r="F535" s="64"/>
      <c r="G535" s="64"/>
      <c r="H535" s="20"/>
      <c r="I535" s="12"/>
      <c r="J535" s="72"/>
      <c r="K535" s="20"/>
      <c r="L535" s="14"/>
      <c r="M535" s="68"/>
      <c r="N535" s="68"/>
      <c r="O535" s="14"/>
    </row>
    <row r="536" spans="4:15" s="25" customFormat="1">
      <c r="D536" s="24"/>
      <c r="E536" s="24"/>
      <c r="F536" s="64"/>
      <c r="G536" s="64"/>
      <c r="H536" s="20"/>
      <c r="I536" s="12"/>
      <c r="J536" s="72"/>
      <c r="K536" s="20"/>
      <c r="L536" s="14"/>
      <c r="M536" s="68"/>
      <c r="N536" s="68"/>
      <c r="O536" s="14"/>
    </row>
    <row r="537" spans="4:15" s="25" customFormat="1">
      <c r="D537" s="24"/>
      <c r="E537" s="24"/>
      <c r="F537" s="64"/>
      <c r="G537" s="64"/>
      <c r="H537" s="20"/>
      <c r="I537" s="12"/>
      <c r="J537" s="72"/>
      <c r="K537" s="20"/>
      <c r="L537" s="14"/>
      <c r="M537" s="68"/>
      <c r="N537" s="68"/>
      <c r="O537" s="14"/>
    </row>
    <row r="538" spans="4:15" s="25" customFormat="1">
      <c r="D538" s="24"/>
      <c r="E538" s="24"/>
      <c r="F538" s="64"/>
      <c r="G538" s="64"/>
      <c r="H538" s="20"/>
      <c r="I538" s="12"/>
      <c r="J538" s="72"/>
      <c r="K538" s="20"/>
      <c r="L538" s="14"/>
      <c r="M538" s="68"/>
      <c r="N538" s="68"/>
      <c r="O538" s="14"/>
    </row>
    <row r="539" spans="4:15" s="25" customFormat="1">
      <c r="D539" s="24"/>
      <c r="E539" s="24"/>
      <c r="F539" s="64"/>
      <c r="G539" s="64"/>
      <c r="H539" s="20"/>
      <c r="I539" s="12"/>
      <c r="J539" s="72"/>
      <c r="K539" s="20"/>
      <c r="L539" s="14"/>
      <c r="M539" s="68"/>
      <c r="N539" s="68"/>
      <c r="O539" s="14"/>
    </row>
    <row r="540" spans="4:15" s="25" customFormat="1">
      <c r="D540" s="24"/>
      <c r="E540" s="24"/>
      <c r="F540" s="64"/>
      <c r="G540" s="64"/>
      <c r="H540" s="20"/>
      <c r="I540" s="12"/>
      <c r="J540" s="72"/>
      <c r="K540" s="20"/>
      <c r="L540" s="14"/>
      <c r="M540" s="68"/>
      <c r="N540" s="68"/>
      <c r="O540" s="14"/>
    </row>
    <row r="541" spans="4:15" s="25" customFormat="1">
      <c r="D541" s="24"/>
      <c r="E541" s="24"/>
      <c r="F541" s="64"/>
      <c r="G541" s="64"/>
      <c r="H541" s="20"/>
      <c r="I541" s="12"/>
      <c r="J541" s="72"/>
      <c r="K541" s="20"/>
      <c r="L541" s="14"/>
      <c r="M541" s="68"/>
      <c r="N541" s="68"/>
      <c r="O541" s="14"/>
    </row>
    <row r="542" spans="4:15" s="25" customFormat="1">
      <c r="D542" s="24"/>
      <c r="E542" s="24"/>
      <c r="F542" s="64"/>
      <c r="G542" s="64"/>
      <c r="H542" s="20"/>
      <c r="I542" s="12"/>
      <c r="J542" s="72"/>
      <c r="K542" s="20"/>
      <c r="L542" s="14"/>
      <c r="M542" s="68"/>
      <c r="N542" s="68"/>
      <c r="O542" s="14"/>
    </row>
    <row r="543" spans="4:15" s="25" customFormat="1">
      <c r="D543" s="24"/>
      <c r="E543" s="24"/>
      <c r="F543" s="64"/>
      <c r="G543" s="64"/>
      <c r="H543" s="20"/>
      <c r="I543" s="12"/>
      <c r="J543" s="72"/>
      <c r="K543" s="20"/>
      <c r="L543" s="14"/>
      <c r="M543" s="68"/>
      <c r="N543" s="68"/>
      <c r="O543" s="14"/>
    </row>
    <row r="544" spans="4:15" s="25" customFormat="1">
      <c r="D544" s="24"/>
      <c r="E544" s="24"/>
      <c r="F544" s="64"/>
      <c r="G544" s="64"/>
      <c r="H544" s="20"/>
      <c r="I544" s="12"/>
      <c r="J544" s="72"/>
      <c r="K544" s="20"/>
      <c r="L544" s="14"/>
      <c r="M544" s="68"/>
      <c r="N544" s="68"/>
      <c r="O544" s="14"/>
    </row>
    <row r="545" spans="4:15" s="25" customFormat="1">
      <c r="D545" s="24"/>
      <c r="E545" s="24"/>
      <c r="F545" s="64"/>
      <c r="G545" s="64"/>
      <c r="H545" s="20"/>
      <c r="I545" s="12"/>
      <c r="J545" s="72"/>
      <c r="K545" s="20"/>
      <c r="L545" s="14"/>
      <c r="M545" s="68"/>
      <c r="N545" s="68"/>
      <c r="O545" s="14"/>
    </row>
    <row r="546" spans="4:15" s="25" customFormat="1">
      <c r="D546" s="24"/>
      <c r="E546" s="24"/>
      <c r="F546" s="64"/>
      <c r="G546" s="64"/>
      <c r="H546" s="20"/>
      <c r="I546" s="12"/>
      <c r="J546" s="72"/>
      <c r="K546" s="20"/>
      <c r="L546" s="14"/>
      <c r="M546" s="68"/>
      <c r="N546" s="68"/>
      <c r="O546" s="14"/>
    </row>
    <row r="547" spans="4:15" s="25" customFormat="1">
      <c r="D547" s="24"/>
      <c r="E547" s="24"/>
      <c r="F547" s="64"/>
      <c r="G547" s="64"/>
      <c r="H547" s="20"/>
      <c r="I547" s="12"/>
      <c r="J547" s="72"/>
      <c r="K547" s="20"/>
      <c r="L547" s="14"/>
      <c r="M547" s="68"/>
      <c r="N547" s="68"/>
      <c r="O547" s="14"/>
    </row>
    <row r="548" spans="4:15" s="25" customFormat="1">
      <c r="D548" s="24"/>
      <c r="E548" s="24"/>
      <c r="F548" s="64"/>
      <c r="G548" s="64"/>
      <c r="H548" s="20"/>
      <c r="I548" s="12"/>
      <c r="J548" s="72"/>
      <c r="K548" s="20"/>
      <c r="L548" s="14"/>
      <c r="M548" s="68"/>
      <c r="N548" s="68"/>
      <c r="O548" s="14"/>
    </row>
    <row r="549" spans="4:15" s="25" customFormat="1">
      <c r="D549" s="24"/>
      <c r="E549" s="24"/>
      <c r="F549" s="64"/>
      <c r="G549" s="64"/>
      <c r="H549" s="20"/>
      <c r="I549" s="12"/>
      <c r="J549" s="72"/>
      <c r="K549" s="20"/>
      <c r="L549" s="14"/>
      <c r="M549" s="68"/>
      <c r="N549" s="68"/>
      <c r="O549" s="14"/>
    </row>
    <row r="550" spans="4:15" s="25" customFormat="1">
      <c r="D550" s="24"/>
      <c r="E550" s="24"/>
      <c r="F550" s="64"/>
      <c r="G550" s="64"/>
      <c r="H550" s="20"/>
      <c r="I550" s="12"/>
      <c r="J550" s="72"/>
      <c r="K550" s="20"/>
      <c r="L550" s="14"/>
      <c r="M550" s="68"/>
      <c r="N550" s="68"/>
      <c r="O550" s="14"/>
    </row>
    <row r="551" spans="4:15" s="25" customFormat="1">
      <c r="D551" s="24"/>
      <c r="E551" s="24"/>
      <c r="F551" s="64"/>
      <c r="G551" s="64"/>
      <c r="H551" s="20"/>
      <c r="I551" s="12"/>
      <c r="J551" s="72"/>
      <c r="K551" s="20"/>
      <c r="L551" s="14"/>
      <c r="M551" s="68"/>
      <c r="N551" s="68"/>
      <c r="O551" s="14"/>
    </row>
    <row r="552" spans="4:15" s="25" customFormat="1">
      <c r="D552" s="24"/>
      <c r="E552" s="24"/>
      <c r="F552" s="64"/>
      <c r="G552" s="64"/>
      <c r="H552" s="20"/>
      <c r="I552" s="12"/>
      <c r="J552" s="72"/>
      <c r="K552" s="20"/>
      <c r="L552" s="14"/>
      <c r="M552" s="68"/>
      <c r="N552" s="68"/>
      <c r="O552" s="14"/>
    </row>
    <row r="553" spans="4:15" s="25" customFormat="1">
      <c r="D553" s="24"/>
      <c r="E553" s="24"/>
      <c r="F553" s="64"/>
      <c r="G553" s="64"/>
      <c r="H553" s="20"/>
      <c r="I553" s="12"/>
      <c r="J553" s="72"/>
      <c r="K553" s="20"/>
      <c r="L553" s="14"/>
      <c r="M553" s="68"/>
      <c r="N553" s="68"/>
      <c r="O553" s="14"/>
    </row>
    <row r="554" spans="4:15" s="25" customFormat="1">
      <c r="D554" s="24"/>
      <c r="E554" s="24"/>
      <c r="F554" s="64"/>
      <c r="G554" s="64"/>
      <c r="H554" s="20"/>
      <c r="I554" s="12"/>
      <c r="J554" s="72"/>
      <c r="K554" s="20"/>
      <c r="L554" s="14"/>
      <c r="M554" s="68"/>
      <c r="N554" s="68"/>
      <c r="O554" s="14"/>
    </row>
    <row r="555" spans="4:15" s="25" customFormat="1">
      <c r="D555" s="24"/>
      <c r="E555" s="24"/>
      <c r="F555" s="64"/>
      <c r="G555" s="64"/>
      <c r="H555" s="20"/>
      <c r="I555" s="12"/>
      <c r="J555" s="72"/>
      <c r="K555" s="20"/>
      <c r="L555" s="14"/>
      <c r="M555" s="68"/>
      <c r="N555" s="68"/>
      <c r="O555" s="14"/>
    </row>
    <row r="556" spans="4:15" s="25" customFormat="1">
      <c r="D556" s="24"/>
      <c r="E556" s="24"/>
      <c r="F556" s="64"/>
      <c r="G556" s="64"/>
      <c r="H556" s="20"/>
      <c r="I556" s="12"/>
      <c r="J556" s="72"/>
      <c r="K556" s="20"/>
      <c r="L556" s="14"/>
      <c r="M556" s="68"/>
      <c r="N556" s="68"/>
      <c r="O556" s="14"/>
    </row>
    <row r="557" spans="4:15" s="25" customFormat="1">
      <c r="D557" s="24"/>
      <c r="E557" s="24"/>
      <c r="F557" s="64"/>
      <c r="G557" s="64"/>
      <c r="H557" s="20"/>
      <c r="I557" s="12"/>
      <c r="J557" s="72"/>
      <c r="K557" s="20"/>
      <c r="L557" s="14"/>
      <c r="M557" s="68"/>
      <c r="N557" s="68"/>
      <c r="O557" s="14"/>
    </row>
    <row r="558" spans="4:15" s="25" customFormat="1">
      <c r="D558" s="24"/>
      <c r="E558" s="24"/>
      <c r="F558" s="64"/>
      <c r="G558" s="64"/>
      <c r="H558" s="20"/>
      <c r="I558" s="12"/>
      <c r="J558" s="72"/>
      <c r="K558" s="20"/>
      <c r="L558" s="14"/>
      <c r="M558" s="68"/>
      <c r="N558" s="68"/>
      <c r="O558" s="14"/>
    </row>
    <row r="559" spans="4:15" s="25" customFormat="1">
      <c r="D559" s="24"/>
      <c r="E559" s="24"/>
      <c r="F559" s="64"/>
      <c r="G559" s="64"/>
      <c r="H559" s="20"/>
      <c r="I559" s="12"/>
      <c r="J559" s="72"/>
      <c r="K559" s="20"/>
      <c r="L559" s="14"/>
      <c r="M559" s="68"/>
      <c r="N559" s="68"/>
      <c r="O559" s="14"/>
    </row>
    <row r="560" spans="4:15" s="25" customFormat="1">
      <c r="D560" s="24"/>
      <c r="E560" s="24"/>
      <c r="F560" s="64"/>
      <c r="G560" s="64"/>
      <c r="H560" s="20"/>
      <c r="I560" s="12"/>
      <c r="J560" s="72"/>
      <c r="K560" s="20"/>
      <c r="L560" s="14"/>
      <c r="M560" s="68"/>
      <c r="N560" s="68"/>
      <c r="O560" s="14"/>
    </row>
    <row r="561" spans="4:15" s="25" customFormat="1">
      <c r="D561" s="24"/>
      <c r="E561" s="24"/>
      <c r="F561" s="64"/>
      <c r="G561" s="64"/>
      <c r="H561" s="20"/>
      <c r="I561" s="12"/>
      <c r="J561" s="72"/>
      <c r="K561" s="20"/>
      <c r="L561" s="14"/>
      <c r="M561" s="68"/>
      <c r="N561" s="68"/>
      <c r="O561" s="14"/>
    </row>
    <row r="562" spans="4:15" s="25" customFormat="1">
      <c r="D562" s="24"/>
      <c r="E562" s="24"/>
      <c r="F562" s="64"/>
      <c r="G562" s="64"/>
      <c r="H562" s="20"/>
      <c r="I562" s="12"/>
      <c r="J562" s="72"/>
      <c r="K562" s="20"/>
      <c r="L562" s="14"/>
      <c r="M562" s="68"/>
      <c r="N562" s="68"/>
      <c r="O562" s="14"/>
    </row>
    <row r="563" spans="4:15" s="25" customFormat="1">
      <c r="D563" s="24"/>
      <c r="E563" s="24"/>
      <c r="F563" s="64"/>
      <c r="G563" s="64"/>
      <c r="H563" s="20"/>
      <c r="I563" s="12"/>
      <c r="J563" s="72"/>
      <c r="K563" s="20"/>
      <c r="L563" s="14"/>
      <c r="M563" s="68"/>
      <c r="N563" s="68"/>
      <c r="O563" s="14"/>
    </row>
    <row r="564" spans="4:15" s="25" customFormat="1">
      <c r="D564" s="24"/>
      <c r="E564" s="24"/>
      <c r="F564" s="64"/>
      <c r="G564" s="64"/>
      <c r="H564" s="20"/>
      <c r="I564" s="12"/>
      <c r="J564" s="72"/>
      <c r="K564" s="20"/>
      <c r="L564" s="14"/>
      <c r="M564" s="68"/>
      <c r="N564" s="68"/>
      <c r="O564" s="14"/>
    </row>
    <row r="565" spans="4:15" s="25" customFormat="1">
      <c r="D565" s="24"/>
      <c r="E565" s="24"/>
      <c r="F565" s="64"/>
      <c r="G565" s="64"/>
      <c r="H565" s="20"/>
      <c r="I565" s="12"/>
      <c r="J565" s="72"/>
      <c r="K565" s="20"/>
      <c r="L565" s="14"/>
      <c r="M565" s="68"/>
      <c r="N565" s="68"/>
      <c r="O565" s="14"/>
    </row>
    <row r="566" spans="4:15" s="25" customFormat="1">
      <c r="D566" s="24"/>
      <c r="E566" s="24"/>
      <c r="F566" s="64"/>
      <c r="G566" s="64"/>
      <c r="H566" s="20"/>
      <c r="I566" s="12"/>
      <c r="J566" s="72"/>
      <c r="K566" s="20"/>
      <c r="L566" s="14"/>
      <c r="M566" s="68"/>
      <c r="N566" s="68"/>
      <c r="O566" s="14"/>
    </row>
    <row r="567" spans="4:15" s="25" customFormat="1">
      <c r="D567" s="24"/>
      <c r="E567" s="24"/>
      <c r="F567" s="64"/>
      <c r="G567" s="64"/>
      <c r="H567" s="20"/>
      <c r="I567" s="12"/>
      <c r="J567" s="72"/>
      <c r="K567" s="20"/>
      <c r="L567" s="14"/>
      <c r="M567" s="68"/>
      <c r="N567" s="68"/>
      <c r="O567" s="14"/>
    </row>
    <row r="568" spans="4:15" s="25" customFormat="1">
      <c r="D568" s="24"/>
      <c r="E568" s="24"/>
      <c r="F568" s="64"/>
      <c r="G568" s="64"/>
      <c r="H568" s="20"/>
      <c r="I568" s="12"/>
      <c r="J568" s="72"/>
      <c r="K568" s="20"/>
      <c r="L568" s="14"/>
      <c r="M568" s="68"/>
      <c r="N568" s="68"/>
      <c r="O568" s="14"/>
    </row>
    <row r="569" spans="4:15" s="25" customFormat="1">
      <c r="D569" s="24"/>
      <c r="E569" s="24"/>
      <c r="F569" s="64"/>
      <c r="G569" s="64"/>
      <c r="H569" s="20"/>
      <c r="I569" s="12"/>
      <c r="J569" s="72"/>
      <c r="K569" s="20"/>
      <c r="L569" s="14"/>
      <c r="M569" s="68"/>
      <c r="N569" s="68"/>
      <c r="O569" s="14"/>
    </row>
    <row r="570" spans="4:15" s="25" customFormat="1">
      <c r="D570" s="24"/>
      <c r="E570" s="24"/>
      <c r="F570" s="64"/>
      <c r="G570" s="64"/>
      <c r="H570" s="20"/>
      <c r="I570" s="12"/>
      <c r="J570" s="72"/>
      <c r="K570" s="20"/>
      <c r="L570" s="14"/>
      <c r="M570" s="68"/>
      <c r="N570" s="68"/>
      <c r="O570" s="14"/>
    </row>
    <row r="571" spans="4:15" s="25" customFormat="1">
      <c r="D571" s="24"/>
      <c r="E571" s="24"/>
      <c r="F571" s="64"/>
      <c r="G571" s="64"/>
      <c r="H571" s="20"/>
      <c r="I571" s="12"/>
      <c r="J571" s="72"/>
      <c r="K571" s="20"/>
      <c r="L571" s="14"/>
      <c r="M571" s="68"/>
      <c r="N571" s="68"/>
      <c r="O571" s="14"/>
    </row>
    <row r="572" spans="4:15" s="25" customFormat="1">
      <c r="D572" s="24"/>
      <c r="E572" s="24"/>
      <c r="F572" s="64"/>
      <c r="G572" s="64"/>
      <c r="H572" s="20"/>
      <c r="I572" s="12"/>
      <c r="J572" s="72"/>
      <c r="K572" s="20"/>
      <c r="L572" s="14"/>
      <c r="M572" s="68"/>
      <c r="N572" s="68"/>
      <c r="O572" s="14"/>
    </row>
    <row r="573" spans="4:15" s="25" customFormat="1">
      <c r="D573" s="24"/>
      <c r="E573" s="24"/>
      <c r="F573" s="64"/>
      <c r="G573" s="64"/>
      <c r="H573" s="20"/>
      <c r="I573" s="12"/>
      <c r="J573" s="72"/>
      <c r="K573" s="20"/>
      <c r="L573" s="14"/>
      <c r="M573" s="68"/>
      <c r="N573" s="68"/>
      <c r="O573" s="14"/>
    </row>
    <row r="574" spans="4:15" s="25" customFormat="1">
      <c r="D574" s="24"/>
      <c r="E574" s="24"/>
      <c r="F574" s="64"/>
      <c r="G574" s="64"/>
      <c r="H574" s="20"/>
      <c r="I574" s="12"/>
      <c r="J574" s="72"/>
      <c r="K574" s="20"/>
      <c r="L574" s="14"/>
      <c r="M574" s="68"/>
      <c r="N574" s="68"/>
      <c r="O574" s="14"/>
    </row>
    <row r="575" spans="4:15" s="25" customFormat="1">
      <c r="D575" s="24"/>
      <c r="E575" s="24"/>
      <c r="F575" s="64"/>
      <c r="G575" s="64"/>
      <c r="H575" s="20"/>
      <c r="I575" s="12"/>
      <c r="J575" s="72"/>
      <c r="K575" s="20"/>
      <c r="L575" s="14"/>
      <c r="M575" s="68"/>
      <c r="N575" s="68"/>
      <c r="O575" s="14"/>
    </row>
    <row r="576" spans="4:15" s="25" customFormat="1">
      <c r="D576" s="24"/>
      <c r="E576" s="24"/>
      <c r="F576" s="64"/>
      <c r="G576" s="64"/>
      <c r="H576" s="20"/>
      <c r="I576" s="12"/>
      <c r="J576" s="72"/>
      <c r="K576" s="20"/>
      <c r="L576" s="14"/>
      <c r="M576" s="68"/>
      <c r="N576" s="68"/>
      <c r="O576" s="14"/>
    </row>
    <row r="577" spans="1:15" s="25" customFormat="1">
      <c r="D577" s="24"/>
      <c r="E577" s="24"/>
      <c r="F577" s="64"/>
      <c r="G577" s="64"/>
      <c r="H577" s="20"/>
      <c r="I577" s="12"/>
      <c r="J577" s="72"/>
      <c r="K577" s="20"/>
      <c r="L577" s="14"/>
      <c r="M577" s="68"/>
      <c r="N577" s="68"/>
      <c r="O577" s="14"/>
    </row>
    <row r="578" spans="1:15" s="25" customFormat="1">
      <c r="D578" s="24"/>
      <c r="E578" s="24"/>
      <c r="F578" s="64"/>
      <c r="G578" s="64"/>
      <c r="H578" s="20"/>
      <c r="I578" s="12"/>
      <c r="J578" s="72"/>
      <c r="K578" s="20"/>
      <c r="L578" s="14"/>
      <c r="M578" s="68"/>
      <c r="N578" s="68"/>
      <c r="O578" s="14"/>
    </row>
    <row r="579" spans="1:15">
      <c r="A579" s="7"/>
      <c r="B579" s="7"/>
      <c r="D579" s="10"/>
      <c r="E579" s="10"/>
      <c r="F579" s="11"/>
      <c r="G579" s="11"/>
      <c r="H579" s="8"/>
      <c r="I579" s="12"/>
      <c r="J579" s="13"/>
      <c r="K579" s="8"/>
      <c r="L579" s="14"/>
      <c r="M579" s="15"/>
      <c r="N579" s="15"/>
      <c r="O579" s="16"/>
    </row>
    <row r="580" spans="1:15">
      <c r="A580" s="7"/>
      <c r="B580" s="7"/>
      <c r="D580" s="10"/>
      <c r="E580" s="10"/>
      <c r="F580" s="11"/>
      <c r="G580" s="11"/>
      <c r="H580" s="8"/>
      <c r="I580" s="12"/>
      <c r="J580" s="13"/>
      <c r="K580" s="8"/>
      <c r="L580" s="14"/>
      <c r="M580" s="15"/>
      <c r="N580" s="15"/>
      <c r="O580" s="16"/>
    </row>
    <row r="581" spans="1:15">
      <c r="A581" s="7"/>
      <c r="B581" s="7"/>
      <c r="D581" s="10"/>
      <c r="E581" s="10"/>
      <c r="F581" s="11"/>
      <c r="G581" s="11"/>
      <c r="H581" s="8"/>
      <c r="I581" s="12"/>
      <c r="J581" s="13"/>
      <c r="K581" s="8"/>
      <c r="L581" s="14"/>
      <c r="M581" s="15"/>
      <c r="N581" s="15"/>
      <c r="O581" s="16"/>
    </row>
    <row r="582" spans="1:15">
      <c r="A582" s="7"/>
      <c r="B582" s="7"/>
      <c r="D582" s="10"/>
      <c r="E582" s="10"/>
      <c r="F582" s="11"/>
      <c r="G582" s="11"/>
      <c r="H582" s="8"/>
      <c r="I582" s="12"/>
      <c r="J582" s="13"/>
      <c r="K582" s="8"/>
      <c r="L582" s="14"/>
      <c r="M582" s="15"/>
      <c r="N582" s="15"/>
      <c r="O582" s="16"/>
    </row>
    <row r="583" spans="1:15">
      <c r="A583" s="7"/>
      <c r="B583" s="7"/>
      <c r="D583" s="10"/>
      <c r="E583" s="10"/>
      <c r="F583" s="11"/>
      <c r="G583" s="11"/>
      <c r="H583" s="8"/>
      <c r="I583" s="12"/>
      <c r="J583" s="13"/>
      <c r="K583" s="8"/>
      <c r="L583" s="14"/>
      <c r="M583" s="15"/>
      <c r="N583" s="15"/>
      <c r="O583" s="16"/>
    </row>
    <row r="584" spans="1:15">
      <c r="A584" s="7"/>
      <c r="B584" s="7"/>
      <c r="D584" s="10"/>
      <c r="E584" s="10"/>
      <c r="F584" s="11"/>
      <c r="G584" s="11"/>
      <c r="H584" s="8"/>
      <c r="I584" s="12"/>
      <c r="J584" s="13"/>
      <c r="K584" s="8"/>
      <c r="L584" s="14"/>
      <c r="M584" s="15"/>
      <c r="N584" s="15"/>
      <c r="O584" s="16"/>
    </row>
    <row r="585" spans="1:15">
      <c r="A585" s="7"/>
      <c r="B585" s="7"/>
      <c r="D585" s="10"/>
      <c r="E585" s="10"/>
      <c r="F585" s="11"/>
      <c r="G585" s="11"/>
      <c r="H585" s="8"/>
      <c r="I585" s="12"/>
      <c r="J585" s="13"/>
      <c r="K585" s="8"/>
      <c r="L585" s="14"/>
      <c r="M585" s="15"/>
      <c r="N585" s="15"/>
      <c r="O585" s="16"/>
    </row>
    <row r="586" spans="1:15">
      <c r="A586" s="7"/>
      <c r="B586" s="7"/>
      <c r="D586" s="10"/>
      <c r="E586" s="10"/>
      <c r="F586" s="11"/>
      <c r="G586" s="11"/>
      <c r="H586" s="8"/>
      <c r="I586" s="12"/>
      <c r="J586" s="13"/>
      <c r="K586" s="8"/>
      <c r="L586" s="14"/>
      <c r="M586" s="15"/>
      <c r="N586" s="15"/>
      <c r="O586" s="16"/>
    </row>
    <row r="587" spans="1:15">
      <c r="A587" s="7"/>
      <c r="B587" s="7"/>
      <c r="D587" s="10"/>
      <c r="E587" s="10"/>
      <c r="F587" s="11"/>
      <c r="G587" s="11"/>
      <c r="H587" s="8"/>
      <c r="I587" s="12"/>
      <c r="J587" s="13"/>
      <c r="K587" s="8"/>
      <c r="L587" s="14"/>
      <c r="M587" s="15"/>
      <c r="N587" s="15"/>
      <c r="O587" s="16"/>
    </row>
    <row r="588" spans="1:15">
      <c r="A588" s="7"/>
      <c r="B588" s="7"/>
      <c r="D588" s="10"/>
      <c r="E588" s="10"/>
      <c r="F588" s="11"/>
      <c r="G588" s="11"/>
      <c r="H588" s="8"/>
      <c r="I588" s="12"/>
      <c r="J588" s="13"/>
      <c r="K588" s="8"/>
      <c r="L588" s="14"/>
      <c r="M588" s="15"/>
      <c r="N588" s="15"/>
      <c r="O588" s="16"/>
    </row>
    <row r="589" spans="1:15">
      <c r="A589" s="7"/>
      <c r="B589" s="7"/>
      <c r="D589" s="10"/>
      <c r="E589" s="10"/>
      <c r="F589" s="11"/>
      <c r="G589" s="11"/>
      <c r="H589" s="8"/>
      <c r="I589" s="12"/>
      <c r="J589" s="13"/>
      <c r="K589" s="8"/>
      <c r="L589" s="14"/>
      <c r="M589" s="15"/>
      <c r="N589" s="15"/>
      <c r="O589" s="16"/>
    </row>
    <row r="590" spans="1:15">
      <c r="A590" s="7"/>
      <c r="B590" s="7"/>
      <c r="D590" s="10"/>
      <c r="E590" s="10"/>
      <c r="F590" s="11"/>
      <c r="G590" s="11"/>
      <c r="H590" s="8"/>
      <c r="I590" s="12"/>
      <c r="J590" s="13"/>
      <c r="K590" s="8"/>
      <c r="L590" s="14"/>
      <c r="M590" s="15"/>
      <c r="N590" s="15"/>
      <c r="O590" s="16"/>
    </row>
    <row r="591" spans="1:15">
      <c r="A591" s="7"/>
      <c r="B591" s="7"/>
      <c r="D591" s="10"/>
      <c r="E591" s="10"/>
      <c r="F591" s="11"/>
      <c r="G591" s="11"/>
      <c r="H591" s="8"/>
      <c r="I591" s="12"/>
      <c r="J591" s="13"/>
      <c r="K591" s="8"/>
      <c r="L591" s="14"/>
      <c r="M591" s="15"/>
      <c r="N591" s="15"/>
      <c r="O591" s="16"/>
    </row>
    <row r="592" spans="1:15">
      <c r="A592" s="7"/>
      <c r="B592" s="7"/>
      <c r="D592" s="10"/>
      <c r="E592" s="10"/>
      <c r="F592" s="11"/>
      <c r="G592" s="11"/>
      <c r="H592" s="8"/>
      <c r="I592" s="12"/>
      <c r="J592" s="13"/>
      <c r="K592" s="8"/>
      <c r="L592" s="14"/>
      <c r="M592" s="15"/>
      <c r="N592" s="15"/>
      <c r="O592" s="16"/>
    </row>
    <row r="593" spans="1:15">
      <c r="A593" s="7"/>
      <c r="B593" s="7"/>
      <c r="D593" s="10"/>
      <c r="E593" s="10"/>
      <c r="F593" s="11"/>
      <c r="G593" s="11"/>
      <c r="H593" s="8"/>
      <c r="I593" s="12"/>
      <c r="J593" s="13"/>
      <c r="K593" s="8"/>
      <c r="L593" s="14"/>
      <c r="M593" s="15"/>
      <c r="N593" s="15"/>
      <c r="O593" s="16"/>
    </row>
    <row r="594" spans="1:15">
      <c r="A594" s="7"/>
      <c r="B594" s="7"/>
      <c r="D594" s="10"/>
      <c r="E594" s="10"/>
      <c r="F594" s="11"/>
      <c r="G594" s="11"/>
      <c r="H594" s="8"/>
      <c r="I594" s="12"/>
      <c r="J594" s="13"/>
      <c r="K594" s="8"/>
      <c r="L594" s="14"/>
      <c r="M594" s="15"/>
      <c r="N594" s="15"/>
      <c r="O594" s="16"/>
    </row>
    <row r="595" spans="1:15">
      <c r="A595" s="7"/>
      <c r="B595" s="7"/>
      <c r="D595" s="10"/>
      <c r="E595" s="10"/>
      <c r="F595" s="11"/>
      <c r="G595" s="11"/>
      <c r="H595" s="8"/>
      <c r="I595" s="12"/>
      <c r="J595" s="13"/>
      <c r="K595" s="8"/>
      <c r="L595" s="14"/>
      <c r="M595" s="15"/>
      <c r="N595" s="15"/>
      <c r="O595" s="16"/>
    </row>
    <row r="596" spans="1:15">
      <c r="A596" s="7"/>
      <c r="B596" s="7"/>
      <c r="D596" s="10"/>
      <c r="E596" s="10"/>
      <c r="F596" s="11"/>
      <c r="G596" s="11"/>
      <c r="H596" s="8"/>
      <c r="I596" s="12"/>
      <c r="J596" s="13"/>
      <c r="K596" s="8"/>
      <c r="L596" s="14"/>
      <c r="M596" s="15"/>
      <c r="N596" s="15"/>
      <c r="O596" s="16"/>
    </row>
    <row r="597" spans="1:15">
      <c r="A597" s="7"/>
      <c r="B597" s="7"/>
      <c r="D597" s="10"/>
      <c r="E597" s="10"/>
      <c r="F597" s="11"/>
      <c r="G597" s="11"/>
      <c r="H597" s="8"/>
      <c r="I597" s="12"/>
      <c r="J597" s="13"/>
      <c r="K597" s="8"/>
      <c r="L597" s="14"/>
      <c r="M597" s="15"/>
      <c r="N597" s="15"/>
      <c r="O597" s="16"/>
    </row>
    <row r="598" spans="1:15">
      <c r="A598" s="7"/>
      <c r="B598" s="7"/>
      <c r="D598" s="10"/>
      <c r="E598" s="10"/>
      <c r="F598" s="11"/>
      <c r="G598" s="11"/>
      <c r="H598" s="8"/>
      <c r="I598" s="12"/>
      <c r="J598" s="13"/>
      <c r="K598" s="8"/>
      <c r="L598" s="14"/>
      <c r="M598" s="15"/>
      <c r="N598" s="15"/>
      <c r="O598" s="16"/>
    </row>
    <row r="599" spans="1:15">
      <c r="A599" s="7"/>
      <c r="B599" s="7"/>
      <c r="D599" s="10"/>
      <c r="E599" s="10"/>
      <c r="F599" s="11"/>
      <c r="G599" s="11"/>
      <c r="H599" s="8"/>
      <c r="I599" s="12"/>
      <c r="J599" s="13"/>
      <c r="K599" s="8"/>
      <c r="L599" s="14"/>
      <c r="M599" s="15"/>
      <c r="N599" s="15"/>
      <c r="O599" s="16"/>
    </row>
    <row r="600" spans="1:15">
      <c r="A600" s="7"/>
      <c r="B600" s="7"/>
      <c r="D600" s="10"/>
      <c r="E600" s="10"/>
      <c r="F600" s="11"/>
      <c r="G600" s="11"/>
      <c r="H600" s="8"/>
      <c r="I600" s="12"/>
      <c r="J600" s="13"/>
      <c r="K600" s="8"/>
      <c r="L600" s="14"/>
      <c r="M600" s="15"/>
      <c r="N600" s="15"/>
      <c r="O600" s="16"/>
    </row>
    <row r="601" spans="1:15">
      <c r="A601" s="7"/>
      <c r="B601" s="7"/>
      <c r="D601" s="10"/>
      <c r="E601" s="10"/>
      <c r="F601" s="11"/>
      <c r="G601" s="11"/>
      <c r="H601" s="8"/>
      <c r="I601" s="12"/>
      <c r="J601" s="13"/>
      <c r="K601" s="8"/>
      <c r="L601" s="14"/>
      <c r="M601" s="15"/>
      <c r="N601" s="15"/>
      <c r="O601" s="16"/>
    </row>
    <row r="602" spans="1:15">
      <c r="A602" s="7"/>
      <c r="B602" s="7"/>
      <c r="D602" s="10"/>
      <c r="E602" s="10"/>
      <c r="F602" s="11"/>
      <c r="G602" s="11"/>
      <c r="H602" s="8"/>
      <c r="I602" s="12"/>
      <c r="J602" s="13"/>
      <c r="K602" s="8"/>
      <c r="L602" s="14"/>
      <c r="M602" s="15"/>
      <c r="N602" s="15"/>
      <c r="O602" s="16"/>
    </row>
    <row r="603" spans="1:15">
      <c r="A603" s="7"/>
      <c r="B603" s="7"/>
      <c r="D603" s="10"/>
      <c r="E603" s="10"/>
      <c r="F603" s="11"/>
      <c r="G603" s="11"/>
      <c r="H603" s="8"/>
      <c r="I603" s="12"/>
      <c r="J603" s="13"/>
      <c r="K603" s="8"/>
      <c r="L603" s="14"/>
      <c r="M603" s="15"/>
      <c r="N603" s="15"/>
      <c r="O603" s="16"/>
    </row>
    <row r="604" spans="1:15">
      <c r="A604" s="7"/>
      <c r="B604" s="7"/>
      <c r="D604" s="10"/>
      <c r="E604" s="10"/>
      <c r="F604" s="11"/>
      <c r="G604" s="11"/>
      <c r="H604" s="8"/>
      <c r="I604" s="12"/>
      <c r="J604" s="13"/>
      <c r="K604" s="8"/>
      <c r="L604" s="14"/>
      <c r="M604" s="15"/>
      <c r="N604" s="15"/>
      <c r="O604" s="16"/>
    </row>
    <row r="605" spans="1:15">
      <c r="A605" s="7"/>
      <c r="B605" s="7"/>
      <c r="D605" s="10"/>
      <c r="E605" s="10"/>
      <c r="F605" s="11"/>
      <c r="G605" s="11"/>
      <c r="H605" s="8"/>
      <c r="I605" s="12"/>
      <c r="J605" s="13"/>
      <c r="K605" s="8"/>
      <c r="L605" s="14"/>
      <c r="M605" s="15"/>
      <c r="N605" s="15"/>
      <c r="O605" s="16"/>
    </row>
    <row r="606" spans="1:15">
      <c r="A606" s="7"/>
      <c r="B606" s="7"/>
      <c r="D606" s="10"/>
      <c r="E606" s="10"/>
      <c r="F606" s="11"/>
      <c r="G606" s="11"/>
      <c r="H606" s="8"/>
      <c r="I606" s="12"/>
      <c r="J606" s="13"/>
      <c r="K606" s="8"/>
      <c r="L606" s="14"/>
      <c r="M606" s="15"/>
      <c r="N606" s="15"/>
      <c r="O606" s="16"/>
    </row>
    <row r="607" spans="1:15">
      <c r="A607" s="7"/>
      <c r="B607" s="7"/>
      <c r="D607" s="10"/>
      <c r="E607" s="10"/>
      <c r="F607" s="11"/>
      <c r="G607" s="11"/>
      <c r="H607" s="8"/>
      <c r="I607" s="12"/>
      <c r="J607" s="13"/>
      <c r="K607" s="8"/>
      <c r="L607" s="14"/>
      <c r="M607" s="15"/>
      <c r="N607" s="15"/>
      <c r="O607" s="16"/>
    </row>
    <row r="608" spans="1:15">
      <c r="A608" s="7"/>
      <c r="B608" s="7"/>
      <c r="D608" s="10"/>
      <c r="E608" s="10"/>
      <c r="F608" s="11"/>
      <c r="G608" s="11"/>
      <c r="H608" s="8"/>
      <c r="I608" s="12"/>
      <c r="J608" s="13"/>
      <c r="K608" s="8"/>
      <c r="L608" s="14"/>
      <c r="M608" s="15"/>
      <c r="N608" s="15"/>
      <c r="O608" s="16"/>
    </row>
    <row r="609" spans="1:15">
      <c r="A609" s="7"/>
      <c r="B609" s="7"/>
      <c r="D609" s="10"/>
      <c r="E609" s="10"/>
      <c r="F609" s="11"/>
      <c r="G609" s="11"/>
      <c r="H609" s="8"/>
      <c r="I609" s="12"/>
      <c r="J609" s="13"/>
      <c r="K609" s="8"/>
      <c r="L609" s="14"/>
      <c r="M609" s="15"/>
      <c r="N609" s="15"/>
      <c r="O609" s="16"/>
    </row>
    <row r="610" spans="1:15">
      <c r="A610" s="7"/>
      <c r="B610" s="7"/>
      <c r="D610" s="10"/>
      <c r="E610" s="10"/>
      <c r="F610" s="11"/>
      <c r="G610" s="11"/>
      <c r="H610" s="8"/>
      <c r="I610" s="12"/>
      <c r="J610" s="13"/>
      <c r="K610" s="8"/>
      <c r="L610" s="14"/>
      <c r="M610" s="15"/>
      <c r="N610" s="15"/>
      <c r="O610" s="16"/>
    </row>
    <row r="611" spans="1:15">
      <c r="A611" s="7"/>
      <c r="B611" s="7"/>
      <c r="D611" s="10"/>
      <c r="E611" s="10"/>
      <c r="F611" s="11"/>
      <c r="G611" s="11"/>
      <c r="H611" s="8"/>
      <c r="I611" s="12"/>
      <c r="J611" s="13"/>
      <c r="K611" s="8"/>
      <c r="L611" s="14"/>
      <c r="M611" s="15"/>
      <c r="N611" s="15"/>
      <c r="O611" s="16"/>
    </row>
    <row r="612" spans="1:15">
      <c r="A612" s="7"/>
      <c r="B612" s="7"/>
      <c r="D612" s="10"/>
      <c r="E612" s="10"/>
      <c r="F612" s="11"/>
      <c r="G612" s="11"/>
      <c r="H612" s="8"/>
      <c r="I612" s="12"/>
      <c r="J612" s="13"/>
      <c r="K612" s="8"/>
      <c r="L612" s="14"/>
      <c r="M612" s="15"/>
      <c r="N612" s="15"/>
      <c r="O612" s="16"/>
    </row>
    <row r="613" spans="1:15">
      <c r="A613" s="7"/>
      <c r="B613" s="7"/>
      <c r="D613" s="10"/>
      <c r="E613" s="10"/>
      <c r="F613" s="11"/>
      <c r="G613" s="11"/>
      <c r="H613" s="8"/>
      <c r="I613" s="12"/>
      <c r="J613" s="13"/>
      <c r="K613" s="8"/>
      <c r="L613" s="14"/>
      <c r="M613" s="15"/>
      <c r="N613" s="15"/>
      <c r="O613" s="16"/>
    </row>
    <row r="614" spans="1:15">
      <c r="A614" s="7"/>
      <c r="B614" s="7"/>
      <c r="D614" s="10"/>
      <c r="E614" s="10"/>
      <c r="F614" s="11"/>
      <c r="G614" s="11"/>
      <c r="H614" s="8"/>
      <c r="I614" s="12"/>
      <c r="J614" s="13"/>
      <c r="K614" s="8"/>
      <c r="L614" s="14"/>
      <c r="M614" s="15"/>
      <c r="N614" s="15"/>
      <c r="O614" s="16"/>
    </row>
    <row r="615" spans="1:15">
      <c r="A615" s="7"/>
      <c r="B615" s="7"/>
      <c r="D615" s="10"/>
      <c r="E615" s="10"/>
      <c r="F615" s="11"/>
      <c r="G615" s="11"/>
      <c r="H615" s="8"/>
      <c r="I615" s="12"/>
      <c r="J615" s="13"/>
      <c r="K615" s="8"/>
      <c r="L615" s="14"/>
      <c r="M615" s="15"/>
      <c r="N615" s="15"/>
      <c r="O615" s="16"/>
    </row>
    <row r="616" spans="1:15">
      <c r="A616" s="7"/>
      <c r="B616" s="7"/>
      <c r="D616" s="10"/>
      <c r="E616" s="10"/>
      <c r="F616" s="11"/>
      <c r="G616" s="11"/>
      <c r="H616" s="8"/>
      <c r="I616" s="12"/>
      <c r="J616" s="13"/>
      <c r="K616" s="8"/>
      <c r="L616" s="14"/>
      <c r="M616" s="15"/>
      <c r="N616" s="15"/>
      <c r="O616" s="16"/>
    </row>
    <row r="617" spans="1:15">
      <c r="A617" s="7"/>
      <c r="B617" s="7"/>
      <c r="D617" s="10"/>
      <c r="E617" s="10"/>
      <c r="F617" s="11"/>
      <c r="G617" s="11"/>
      <c r="H617" s="8"/>
      <c r="I617" s="12"/>
      <c r="J617" s="13"/>
      <c r="K617" s="8"/>
      <c r="L617" s="14"/>
      <c r="M617" s="15"/>
      <c r="N617" s="15"/>
      <c r="O617" s="16"/>
    </row>
    <row r="618" spans="1:15">
      <c r="A618" s="7"/>
      <c r="B618" s="7"/>
      <c r="D618" s="10"/>
      <c r="E618" s="10"/>
      <c r="F618" s="11"/>
      <c r="G618" s="11"/>
      <c r="H618" s="8"/>
      <c r="I618" s="12"/>
      <c r="J618" s="13"/>
      <c r="K618" s="8"/>
      <c r="L618" s="14"/>
      <c r="M618" s="15"/>
      <c r="N618" s="15"/>
      <c r="O618" s="16"/>
    </row>
    <row r="619" spans="1:15">
      <c r="A619" s="7"/>
      <c r="B619" s="7"/>
      <c r="D619" s="10"/>
      <c r="E619" s="10"/>
      <c r="F619" s="11"/>
      <c r="G619" s="11"/>
      <c r="H619" s="8"/>
      <c r="I619" s="12"/>
      <c r="J619" s="13"/>
      <c r="K619" s="8"/>
      <c r="L619" s="14"/>
      <c r="M619" s="15"/>
      <c r="N619" s="15"/>
      <c r="O619" s="16"/>
    </row>
    <row r="620" spans="1:15">
      <c r="A620" s="7"/>
      <c r="B620" s="7"/>
      <c r="D620" s="10"/>
      <c r="E620" s="10"/>
      <c r="F620" s="11"/>
      <c r="G620" s="11"/>
      <c r="H620" s="8"/>
      <c r="I620" s="12"/>
      <c r="J620" s="13"/>
      <c r="K620" s="8"/>
      <c r="L620" s="14"/>
      <c r="M620" s="15"/>
      <c r="N620" s="15"/>
      <c r="O620" s="16"/>
    </row>
    <row r="621" spans="1:15">
      <c r="A621" s="7"/>
      <c r="B621" s="7"/>
      <c r="D621" s="10"/>
      <c r="E621" s="10"/>
      <c r="F621" s="11"/>
      <c r="G621" s="11"/>
      <c r="H621" s="8"/>
      <c r="I621" s="12"/>
      <c r="J621" s="13"/>
      <c r="K621" s="8"/>
      <c r="L621" s="14"/>
      <c r="M621" s="15"/>
      <c r="N621" s="15"/>
      <c r="O621" s="16"/>
    </row>
    <row r="622" spans="1:15">
      <c r="A622" s="7"/>
      <c r="B622" s="7"/>
      <c r="D622" s="10"/>
      <c r="E622" s="10"/>
      <c r="F622" s="11"/>
      <c r="G622" s="11"/>
      <c r="H622" s="8"/>
      <c r="I622" s="12"/>
      <c r="J622" s="13"/>
      <c r="K622" s="8"/>
      <c r="L622" s="14"/>
      <c r="M622" s="15"/>
      <c r="N622" s="15"/>
      <c r="O622" s="16"/>
    </row>
    <row r="623" spans="1:15">
      <c r="A623" s="7"/>
      <c r="B623" s="7"/>
      <c r="D623" s="10"/>
      <c r="E623" s="10"/>
      <c r="F623" s="11"/>
      <c r="G623" s="11"/>
      <c r="H623" s="8"/>
      <c r="I623" s="12"/>
      <c r="J623" s="13"/>
      <c r="K623" s="8"/>
      <c r="L623" s="14"/>
      <c r="M623" s="15"/>
      <c r="N623" s="15"/>
      <c r="O623" s="16"/>
    </row>
    <row r="624" spans="1:15">
      <c r="A624" s="7"/>
      <c r="B624" s="7"/>
      <c r="D624" s="10"/>
      <c r="E624" s="10"/>
      <c r="F624" s="11"/>
      <c r="G624" s="11"/>
      <c r="H624" s="8"/>
      <c r="I624" s="12"/>
      <c r="J624" s="13"/>
      <c r="K624" s="8"/>
      <c r="L624" s="14"/>
      <c r="M624" s="15"/>
      <c r="N624" s="15"/>
      <c r="O624" s="16"/>
    </row>
    <row r="625" spans="1:15">
      <c r="A625" s="7"/>
      <c r="B625" s="7"/>
      <c r="D625" s="10"/>
      <c r="E625" s="10"/>
      <c r="F625" s="11"/>
      <c r="G625" s="11"/>
      <c r="H625" s="8"/>
      <c r="I625" s="12"/>
      <c r="J625" s="13"/>
      <c r="K625" s="8"/>
      <c r="L625" s="14"/>
      <c r="M625" s="15"/>
      <c r="N625" s="15"/>
      <c r="O625" s="16"/>
    </row>
  </sheetData>
  <sortState ref="B21:O36">
    <sortCondition ref="E21:E36"/>
  </sortState>
  <mergeCells count="6">
    <mergeCell ref="H7:I7"/>
    <mergeCell ref="L6:M6"/>
    <mergeCell ref="A1:P1"/>
    <mergeCell ref="A2:P2"/>
    <mergeCell ref="A3:P3"/>
    <mergeCell ref="A4:P4"/>
  </mergeCells>
  <phoneticPr fontId="4" type="noConversion"/>
  <printOptions horizontalCentered="1"/>
  <pageMargins left="0.5" right="0.5" top="0.7" bottom="0.55000000000000004" header="0.5" footer="0.5"/>
  <pageSetup scale="66" fitToHeight="3" orientation="landscape" horizontalDpi="300" verticalDpi="300" r:id="rId1"/>
  <headerFooter alignWithMargins="0">
    <oddHeader>&amp;RPage &amp;P of &amp;N</oddHeader>
  </headerFooter>
  <ignoredErrors>
    <ignoredError sqref="A12 A101:A102 P101:P102 D71:E81 I78:I81 B80:B81 D97:E98 A94:A100 P94:P100 P11:P12 P37:P70 A38:A70 P13:P17 A19:A22 P18:P22 P71:P81 D82:E90 I82:I90 P82:P93 A86:A93 P23 A23 A15:A17 A13:A14 A18 A37 A28:A33 A24:A27 A34:A36 A85 A73:A81 A71:A72 A82:A84 P27:P33 P24:P26 P34:P36" unlockedFormula="1"/>
    <ignoredError sqref="L86 L53:L63 L13:L15" formulaRange="1"/>
    <ignoredError sqref="L2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Appealed</CaseStatus>
    <OpenedDate xmlns="dc463f71-b30c-4ab2-9473-d307f9d35888">2014-05-01T07:00:00+00:00</OpenedDate>
    <Date1 xmlns="dc463f71-b30c-4ab2-9473-d307f9d35888">2014-05-01T07:00:00+00:00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140762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32BF0E43BA441AC308742D5F08A91" ma:contentTypeVersion="175" ma:contentTypeDescription="" ma:contentTypeScope="" ma:versionID="48cf33efac28346d280b5c0ff7062d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C17F47D7-2BE1-4283-8A42-148317BD59F3}"/>
</file>

<file path=customXml/itemProps2.xml><?xml version="1.0" encoding="utf-8"?>
<ds:datastoreItem xmlns:ds="http://schemas.openxmlformats.org/officeDocument/2006/customXml" ds:itemID="{A3EDB49E-260F-4831-8B06-5F6062075704}"/>
</file>

<file path=customXml/itemProps3.xml><?xml version="1.0" encoding="utf-8"?>
<ds:datastoreItem xmlns:ds="http://schemas.openxmlformats.org/officeDocument/2006/customXml" ds:itemID="{1A8CD034-FAFC-468D-8A9F-30E9C23DC6EE}"/>
</file>

<file path=customXml/itemProps4.xml><?xml version="1.0" encoding="utf-8"?>
<ds:datastoreItem xmlns:ds="http://schemas.openxmlformats.org/officeDocument/2006/customXml" ds:itemID="{5CDA8B35-4C72-4FA9-99A8-5AA42382B6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Summary</vt:lpstr>
      <vt:lpstr>Detail</vt:lpstr>
      <vt:lpstr>PAGE2</vt:lpstr>
      <vt:lpstr>Detail!Print_Area</vt:lpstr>
      <vt:lpstr>Summary!Print_Area</vt:lpstr>
      <vt:lpstr>Detail!Print_Titles</vt:lpstr>
    </vt:vector>
  </TitlesOfParts>
  <Company>PacifiCorp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Staples</dc:creator>
  <cp:lastModifiedBy>carrie meyer</cp:lastModifiedBy>
  <cp:lastPrinted>2014-04-29T16:53:38Z</cp:lastPrinted>
  <dcterms:created xsi:type="dcterms:W3CDTF">1997-02-11T16:29:17Z</dcterms:created>
  <dcterms:modified xsi:type="dcterms:W3CDTF">2014-04-29T16:55:33Z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0x0101006E56B4D1795A2E4DB2F0B01679ED314A00F7932BF0E43BA441AC308742D5F08A91</vt:lpwstr>
  </property>
  <property fmtid="{D5CDD505-2E9C-101B-9397-08002B2CF9AE}" pid="3" name="_docset_NoMedatataSyncRequired">
    <vt:lpwstr>False</vt:lpwstr>
  </property>
</Properties>
</file>