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aiecon.sharepoint.com/Cases/22 Cases/2208 Puget Sound - RD/GAW Work/"/>
    </mc:Choice>
  </mc:AlternateContent>
  <xr:revisionPtr revIDLastSave="194" documentId="8_{5A869D88-B526-457D-98F6-2AB262182669}" xr6:coauthVersionLast="47" xr6:coauthVersionMax="47" xr10:uidLastSave="{7A9F2884-5A00-4B0D-AE68-58F94ACBB65E}"/>
  <bookViews>
    <workbookView xWindow="-110" yWindow="-110" windowWidth="19420" windowHeight="10420" xr2:uid="{00000000-000D-0000-FFFF-FFFF00000000}"/>
  </bookViews>
  <sheets>
    <sheet name="Cust Cost" sheetId="7" r:id="rId1"/>
    <sheet name="370" sheetId="8" r:id="rId2"/>
  </sheets>
  <definedNames>
    <definedName name="_xlnm.Print_Area" localSheetId="0">'Cust Cost'!$B$5:$E$60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8" i="7" l="1"/>
  <c r="E54" i="7"/>
  <c r="E35" i="7" l="1"/>
  <c r="G37" i="8"/>
  <c r="G36" i="8"/>
  <c r="E32" i="8"/>
  <c r="E37" i="8" s="1"/>
  <c r="E18" i="8"/>
  <c r="E36" i="8" s="1"/>
  <c r="E38" i="8" l="1"/>
  <c r="F36" i="8" s="1"/>
  <c r="H36" i="8" s="1"/>
  <c r="E18" i="7"/>
  <c r="E12" i="7"/>
  <c r="E34" i="7" s="1"/>
  <c r="F37" i="8" l="1"/>
  <c r="E36" i="7"/>
  <c r="G69" i="7"/>
  <c r="D34" i="7"/>
  <c r="F38" i="8" l="1"/>
  <c r="H37" i="8"/>
  <c r="H38" i="8" s="1"/>
  <c r="G70" i="7"/>
  <c r="D35" i="7"/>
  <c r="D19" i="7"/>
  <c r="D18" i="7"/>
  <c r="D13" i="7"/>
  <c r="D12" i="7"/>
  <c r="E55" i="7" l="1"/>
  <c r="E29" i="7"/>
  <c r="E28" i="7"/>
  <c r="E27" i="7"/>
  <c r="E26" i="7"/>
  <c r="E25" i="7"/>
  <c r="E20" i="7"/>
  <c r="G63" i="7"/>
  <c r="D55" i="7"/>
  <c r="D30" i="7"/>
  <c r="D20" i="7"/>
  <c r="D36" i="7"/>
  <c r="E30" i="7" l="1"/>
  <c r="E46" i="7" s="1"/>
  <c r="D14" i="7"/>
  <c r="G64" i="7"/>
  <c r="D47" i="7"/>
  <c r="D46" i="7"/>
  <c r="E47" i="7" l="1"/>
  <c r="E14" i="7"/>
  <c r="E22" i="7" s="1"/>
  <c r="E40" i="7" s="1"/>
  <c r="G65" i="7"/>
  <c r="D22" i="7"/>
  <c r="D41" i="7" s="1"/>
  <c r="E41" i="7" l="1"/>
  <c r="E42" i="7" s="1"/>
  <c r="D42" i="7"/>
  <c r="D40" i="7"/>
  <c r="D44" i="7" l="1"/>
  <c r="D49" i="7" s="1"/>
  <c r="D52" i="7" s="1"/>
  <c r="D57" i="7" s="1"/>
  <c r="E44" i="7"/>
  <c r="E49" i="7" s="1"/>
  <c r="E52" i="7" s="1"/>
  <c r="E57" i="7" s="1"/>
</calcChain>
</file>

<file path=xl/sharedStrings.xml><?xml version="1.0" encoding="utf-8"?>
<sst xmlns="http://schemas.openxmlformats.org/spreadsheetml/2006/main" count="144" uniqueCount="87">
  <si>
    <t>Gross Plant</t>
  </si>
  <si>
    <t>369</t>
  </si>
  <si>
    <t>Services</t>
  </si>
  <si>
    <t>Meters</t>
  </si>
  <si>
    <t>Total Gross Plant</t>
  </si>
  <si>
    <t>Depreciation Reserve</t>
  </si>
  <si>
    <t>Total Depreciation Reserve</t>
  </si>
  <si>
    <t>Total Net Plant</t>
  </si>
  <si>
    <t>Operation &amp; Maintenance Expenses</t>
  </si>
  <si>
    <t>Dist Oper - Meter</t>
  </si>
  <si>
    <t>Records &amp; Collections</t>
  </si>
  <si>
    <t>Total O &amp; M Expenses</t>
  </si>
  <si>
    <t>Depreciation Expense</t>
  </si>
  <si>
    <t>Total Depreciation Expense</t>
  </si>
  <si>
    <t>Revenue Requirement</t>
  </si>
  <si>
    <t>Interest</t>
  </si>
  <si>
    <t>Equity return</t>
  </si>
  <si>
    <t>Income Tax</t>
  </si>
  <si>
    <t>Revenue For Return</t>
  </si>
  <si>
    <t>O &amp; M Expenses</t>
  </si>
  <si>
    <t>Total Revenue Requirement</t>
  </si>
  <si>
    <t>Number of Bills</t>
  </si>
  <si>
    <t>TOTAL MONTHLY CUSTOMER COST</t>
  </si>
  <si>
    <t>Meter Reading</t>
  </si>
  <si>
    <t>Maintenance-Meters</t>
  </si>
  <si>
    <t>coc</t>
  </si>
  <si>
    <t>Customer Installations - Meters</t>
  </si>
  <si>
    <t>Revenue Requirement Before Excise &amp; WUTC Gross-Up</t>
  </si>
  <si>
    <t>PC</t>
  </si>
  <si>
    <t>Cost of Capital</t>
  </si>
  <si>
    <t>PSE</t>
  </si>
  <si>
    <t>debt</t>
  </si>
  <si>
    <t>equity</t>
  </si>
  <si>
    <t>PC Proposed</t>
  </si>
  <si>
    <t>PSE Proposed 1/</t>
  </si>
  <si>
    <t>E370 DST Meters AMR</t>
  </si>
  <si>
    <t>E370 DST Meters AMR-7</t>
  </si>
  <si>
    <t>403E</t>
  </si>
  <si>
    <t>E370 DST Meters AMR-8</t>
  </si>
  <si>
    <t>E370 DST Meters AMR-9</t>
  </si>
  <si>
    <t>E370 DST Meters AMR-10</t>
  </si>
  <si>
    <t>E370 DST Meters AMR-11</t>
  </si>
  <si>
    <t>E370 DST Meters AMR-12</t>
  </si>
  <si>
    <t>E370 DST Meters AMR-1</t>
  </si>
  <si>
    <t>E370 DST Meters AMR-2</t>
  </si>
  <si>
    <t>E370 DST Meters AMR-3</t>
  </si>
  <si>
    <t>E370 DST Meters AMR-4</t>
  </si>
  <si>
    <t>E370 DST Meters AMR-5</t>
  </si>
  <si>
    <t>E370 DST Meters AMR-6</t>
  </si>
  <si>
    <t>E370 DST Meters AMR Total</t>
  </si>
  <si>
    <t>EDST</t>
  </si>
  <si>
    <t>Total</t>
  </si>
  <si>
    <t>E3701 DST Meters AMI</t>
  </si>
  <si>
    <t>E3701 DST Meters AMI-7</t>
  </si>
  <si>
    <t>E3701 DST Meters AMI-8</t>
  </si>
  <si>
    <t>E3701 DST Meters AMI-9</t>
  </si>
  <si>
    <t>E3701 DST Meters AMI-10</t>
  </si>
  <si>
    <t>E3701 DST Meters AMI-11</t>
  </si>
  <si>
    <t>E3701 DST Meters AMI-12</t>
  </si>
  <si>
    <t>E3701 DST Meters AMI-1</t>
  </si>
  <si>
    <t>E3701 DST Meters AMI-2</t>
  </si>
  <si>
    <t>E3701 DST Meters AMI-3</t>
  </si>
  <si>
    <t>E3701 DST Meters AMI-4</t>
  </si>
  <si>
    <t>E3701 DST Meters AMI-5</t>
  </si>
  <si>
    <t>E3701 DST Meters AMI-6</t>
  </si>
  <si>
    <t>E3701 DST Meters AMI Total</t>
  </si>
  <si>
    <t>Depreciation Group</t>
  </si>
  <si>
    <t>FERC Exp</t>
  </si>
  <si>
    <t>Depreciable Plant per PP</t>
  </si>
  <si>
    <t>Test Year Rate</t>
  </si>
  <si>
    <t>SOURCE : SEF-6E-11g-AMAtoEOPDeprec-22GRC-01-2022.xlsx</t>
  </si>
  <si>
    <t>1/ NEW-PSE-WP-SEF-3E-8G-CostofCapital-22GRC-01-2022.xlsx</t>
  </si>
  <si>
    <t>Plant</t>
  </si>
  <si>
    <t xml:space="preserve"> Percent</t>
  </si>
  <si>
    <t>Weighted</t>
  </si>
  <si>
    <t>Rate</t>
  </si>
  <si>
    <t>Depr</t>
  </si>
  <si>
    <t>3.15% Depr Rate</t>
  </si>
  <si>
    <t>6.92% weight avg Depr Rate</t>
  </si>
  <si>
    <t>Number of Customers  2/</t>
  </si>
  <si>
    <t>Uncollectible, State Utility Tax &amp; WUTC Fee Gross-Up Factor  1/</t>
  </si>
  <si>
    <t>1/ New-PSE-WP-SEF-3E-8G-ConversionFactor-22GRC-01-2022.xlsx.</t>
  </si>
  <si>
    <t>2/  NEW-PSE-WP-BDJ-4-COS-MODEL-ALLOCATION-FACTORS-22GRC-01-2022.</t>
  </si>
  <si>
    <t>PUGET SOUND ENERGY</t>
  </si>
  <si>
    <t>Residential Electric Customer Cost Analysis</t>
  </si>
  <si>
    <t>Services (3.15% Depreciation Rate)</t>
  </si>
  <si>
    <t>Meters (6.92% Weighted Average Depreciation 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</si>
</sst>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$-409]#,##0"/>
    <numFmt numFmtId="166" formatCode="&quot;$&quot;#,##0.00"/>
    <numFmt numFmtId="167" formatCode="#,##0.000000"/>
    <numFmt numFmtId="168" formatCode="0.000%"/>
    <numFmt numFmtId="169" formatCode="0.0000%"/>
    <numFmt numFmtId="170" formatCode="0.0000000000000000%"/>
  </numFmts>
  <fonts count="1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2" borderId="0">
      <alignment horizontal="left" wrapText="1"/>
    </xf>
  </cellStyleXfs>
  <cellXfs count="103">
    <xf numFmtId="0" fontId="0" fillId="0" borderId="0" xfId="0"/>
    <xf numFmtId="1" fontId="3" fillId="0" borderId="0" xfId="1" applyNumberFormat="1" applyFont="1" applyAlignment="1">
      <alignment horizontal="center"/>
    </xf>
    <xf numFmtId="0" fontId="2" fillId="0" borderId="0" xfId="1" applyNumberFormat="1" applyFont="1" applyAlignment="1">
      <alignment horizontal="right"/>
    </xf>
    <xf numFmtId="0" fontId="2" fillId="0" borderId="0" xfId="1" applyNumberFormat="1" applyFont="1" applyAlignment="1">
      <alignment horizontal="centerContinuous" wrapText="1"/>
    </xf>
    <xf numFmtId="0" fontId="3" fillId="0" borderId="0" xfId="1" applyNumberFormat="1" applyFont="1" applyAlignment="1"/>
    <xf numFmtId="0" fontId="2" fillId="0" borderId="0" xfId="1" applyNumberFormat="1" applyFont="1" applyAlignment="1"/>
    <xf numFmtId="164" fontId="2" fillId="0" borderId="0" xfId="1" applyNumberFormat="1" applyFont="1" applyAlignment="1"/>
    <xf numFmtId="165" fontId="3" fillId="0" borderId="0" xfId="1" applyNumberFormat="1" applyFont="1" applyAlignment="1"/>
    <xf numFmtId="0" fontId="3" fillId="0" borderId="1" xfId="1" applyNumberFormat="1" applyFont="1" applyBorder="1" applyAlignment="1"/>
    <xf numFmtId="165" fontId="3" fillId="0" borderId="1" xfId="1" applyNumberFormat="1" applyFont="1" applyBorder="1" applyAlignment="1"/>
    <xf numFmtId="164" fontId="3" fillId="0" borderId="1" xfId="1" applyNumberFormat="1" applyFont="1" applyBorder="1" applyAlignment="1"/>
    <xf numFmtId="0" fontId="2" fillId="0" borderId="0" xfId="1" applyFont="1"/>
    <xf numFmtId="0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3" fillId="0" borderId="0" xfId="1" applyNumberFormat="1" applyFont="1" applyAlignment="1"/>
    <xf numFmtId="0" fontId="5" fillId="0" borderId="0" xfId="0" applyFont="1"/>
    <xf numFmtId="0" fontId="2" fillId="0" borderId="3" xfId="1" applyFont="1" applyBorder="1"/>
    <xf numFmtId="0" fontId="5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3" xfId="1" applyNumberFormat="1" applyFont="1" applyBorder="1" applyAlignment="1">
      <alignment horizontal="center"/>
    </xf>
    <xf numFmtId="164" fontId="2" fillId="0" borderId="0" xfId="1" applyNumberFormat="1" applyFont="1" applyBorder="1" applyAlignment="1"/>
    <xf numFmtId="164" fontId="2" fillId="0" borderId="0" xfId="1" applyNumberFormat="1" applyFont="1"/>
    <xf numFmtId="0" fontId="5" fillId="0" borderId="0" xfId="0" applyFont="1" applyBorder="1"/>
    <xf numFmtId="0" fontId="3" fillId="0" borderId="0" xfId="1" applyNumberFormat="1" applyFont="1" applyBorder="1" applyAlignment="1">
      <alignment wrapText="1"/>
    </xf>
    <xf numFmtId="0" fontId="3" fillId="0" borderId="0" xfId="1" applyNumberFormat="1" applyFont="1" applyBorder="1" applyAlignment="1"/>
    <xf numFmtId="164" fontId="3" fillId="0" borderId="0" xfId="1" applyNumberFormat="1" applyFont="1" applyBorder="1" applyAlignment="1"/>
    <xf numFmtId="164" fontId="2" fillId="0" borderId="0" xfId="1" applyNumberFormat="1" applyFont="1" applyBorder="1"/>
    <xf numFmtId="165" fontId="3" fillId="0" borderId="0" xfId="1" applyNumberFormat="1" applyFont="1" applyBorder="1" applyAlignment="1"/>
    <xf numFmtId="0" fontId="3" fillId="0" borderId="0" xfId="1" applyNumberFormat="1" applyFont="1" applyBorder="1" applyAlignment="1">
      <alignment horizontal="center"/>
    </xf>
    <xf numFmtId="0" fontId="3" fillId="0" borderId="3" xfId="1" applyNumberFormat="1" applyFont="1" applyBorder="1" applyAlignment="1">
      <alignment horizontal="center"/>
    </xf>
    <xf numFmtId="0" fontId="7" fillId="0" borderId="0" xfId="1" applyNumberFormat="1" applyFont="1" applyAlignment="1"/>
    <xf numFmtId="0" fontId="8" fillId="0" borderId="0" xfId="0" applyFont="1"/>
    <xf numFmtId="0" fontId="8" fillId="0" borderId="0" xfId="0" applyFont="1" applyBorder="1"/>
    <xf numFmtId="0" fontId="8" fillId="0" borderId="0" xfId="1" applyNumberFormat="1" applyFont="1" applyAlignment="1"/>
    <xf numFmtId="164" fontId="8" fillId="0" borderId="0" xfId="1" applyNumberFormat="1" applyFont="1" applyBorder="1" applyAlignment="1"/>
    <xf numFmtId="1" fontId="7" fillId="0" borderId="0" xfId="1" applyNumberFormat="1" applyFont="1" applyAlignment="1">
      <alignment horizontal="center"/>
    </xf>
    <xf numFmtId="164" fontId="8" fillId="0" borderId="0" xfId="0" applyNumberFormat="1" applyFont="1"/>
    <xf numFmtId="164" fontId="8" fillId="0" borderId="0" xfId="0" applyNumberFormat="1" applyFont="1" applyBorder="1"/>
    <xf numFmtId="0" fontId="8" fillId="0" borderId="0" xfId="1" applyFont="1"/>
    <xf numFmtId="0" fontId="8" fillId="0" borderId="2" xfId="1" applyFont="1" applyBorder="1"/>
    <xf numFmtId="0" fontId="8" fillId="0" borderId="2" xfId="0" applyFont="1" applyBorder="1"/>
    <xf numFmtId="0" fontId="2" fillId="0" borderId="0" xfId="0" applyFont="1"/>
    <xf numFmtId="0" fontId="2" fillId="0" borderId="0" xfId="0" applyFont="1" applyBorder="1"/>
    <xf numFmtId="5" fontId="2" fillId="0" borderId="0" xfId="2" applyNumberFormat="1" applyFont="1"/>
    <xf numFmtId="5" fontId="2" fillId="0" borderId="0" xfId="2" applyNumberFormat="1" applyFont="1" applyBorder="1"/>
    <xf numFmtId="164" fontId="2" fillId="0" borderId="0" xfId="0" applyNumberFormat="1" applyFont="1"/>
    <xf numFmtId="164" fontId="2" fillId="0" borderId="0" xfId="0" applyNumberFormat="1" applyFont="1" applyBorder="1"/>
    <xf numFmtId="0" fontId="7" fillId="0" borderId="0" xfId="1" applyNumberFormat="1" applyFont="1" applyBorder="1" applyAlignment="1"/>
    <xf numFmtId="166" fontId="2" fillId="0" borderId="0" xfId="0" applyNumberFormat="1" applyFont="1" applyBorder="1"/>
    <xf numFmtId="10" fontId="2" fillId="0" borderId="0" xfId="3" applyNumberFormat="1" applyFont="1"/>
    <xf numFmtId="10" fontId="2" fillId="0" borderId="0" xfId="3" applyNumberFormat="1" applyFont="1" applyBorder="1"/>
    <xf numFmtId="1" fontId="3" fillId="0" borderId="0" xfId="1" applyNumberFormat="1" applyFont="1" applyFill="1" applyAlignment="1">
      <alignment horizontal="center"/>
    </xf>
    <xf numFmtId="0" fontId="3" fillId="0" borderId="0" xfId="1" applyNumberFormat="1" applyFont="1" applyFill="1" applyAlignment="1"/>
    <xf numFmtId="0" fontId="2" fillId="0" borderId="0" xfId="1" applyFont="1" applyFill="1"/>
    <xf numFmtId="3" fontId="2" fillId="0" borderId="0" xfId="1" applyNumberFormat="1" applyFont="1" applyFill="1" applyAlignment="1"/>
    <xf numFmtId="0" fontId="2" fillId="0" borderId="0" xfId="0" applyFont="1" applyFill="1" applyBorder="1"/>
    <xf numFmtId="3" fontId="2" fillId="0" borderId="0" xfId="1" applyNumberFormat="1" applyFont="1" applyFill="1" applyBorder="1" applyAlignment="1"/>
    <xf numFmtId="0" fontId="2" fillId="0" borderId="0" xfId="0" applyFont="1" applyFill="1"/>
    <xf numFmtId="0" fontId="2" fillId="0" borderId="0" xfId="1" applyNumberFormat="1" applyFont="1" applyFill="1" applyAlignment="1"/>
    <xf numFmtId="3" fontId="2" fillId="0" borderId="0" xfId="1" applyNumberFormat="1" applyFont="1" applyFill="1"/>
    <xf numFmtId="3" fontId="2" fillId="0" borderId="0" xfId="1" applyNumberFormat="1" applyFont="1" applyFill="1" applyBorder="1"/>
    <xf numFmtId="169" fontId="8" fillId="0" borderId="0" xfId="3" applyNumberFormat="1" applyFont="1" applyBorder="1"/>
    <xf numFmtId="43" fontId="2" fillId="0" borderId="0" xfId="0" applyNumberFormat="1" applyFont="1"/>
    <xf numFmtId="10" fontId="2" fillId="0" borderId="0" xfId="0" applyNumberFormat="1" applyFont="1"/>
    <xf numFmtId="0" fontId="3" fillId="0" borderId="0" xfId="0" applyFont="1"/>
    <xf numFmtId="0" fontId="9" fillId="0" borderId="0" xfId="0" applyFont="1"/>
    <xf numFmtId="168" fontId="2" fillId="0" borderId="0" xfId="3" applyNumberFormat="1" applyFont="1" applyBorder="1"/>
    <xf numFmtId="10" fontId="0" fillId="0" borderId="0" xfId="3" applyNumberFormat="1" applyFont="1"/>
    <xf numFmtId="43" fontId="3" fillId="0" borderId="0" xfId="0" applyNumberFormat="1" applyFont="1"/>
    <xf numFmtId="10" fontId="3" fillId="0" borderId="0" xfId="0" applyNumberFormat="1" applyFont="1"/>
    <xf numFmtId="0" fontId="2" fillId="0" borderId="3" xfId="0" applyFont="1" applyBorder="1"/>
    <xf numFmtId="43" fontId="2" fillId="0" borderId="3" xfId="0" applyNumberFormat="1" applyFont="1" applyBorder="1"/>
    <xf numFmtId="10" fontId="2" fillId="0" borderId="3" xfId="0" applyNumberFormat="1" applyFont="1" applyBorder="1"/>
    <xf numFmtId="10" fontId="0" fillId="0" borderId="0" xfId="0" applyNumberFormat="1"/>
    <xf numFmtId="170" fontId="0" fillId="0" borderId="0" xfId="0" applyNumberFormat="1"/>
    <xf numFmtId="7" fontId="0" fillId="0" borderId="0" xfId="0" applyNumberFormat="1"/>
    <xf numFmtId="167" fontId="2" fillId="0" borderId="0" xfId="0" applyNumberFormat="1" applyFont="1" applyBorder="1"/>
    <xf numFmtId="0" fontId="3" fillId="0" borderId="0" xfId="1" applyFont="1"/>
    <xf numFmtId="166" fontId="2" fillId="0" borderId="0" xfId="0" applyNumberFormat="1" applyFont="1"/>
    <xf numFmtId="43" fontId="0" fillId="0" borderId="0" xfId="0" applyNumberFormat="1"/>
    <xf numFmtId="0" fontId="0" fillId="0" borderId="3" xfId="0" applyBorder="1"/>
    <xf numFmtId="43" fontId="0" fillId="0" borderId="3" xfId="0" applyNumberFormat="1" applyBorder="1"/>
    <xf numFmtId="10" fontId="0" fillId="0" borderId="3" xfId="0" applyNumberFormat="1" applyBorder="1"/>
    <xf numFmtId="10" fontId="0" fillId="0" borderId="3" xfId="3" applyNumberFormat="1" applyFont="1" applyBorder="1"/>
    <xf numFmtId="5" fontId="2" fillId="0" borderId="0" xfId="0" applyNumberFormat="1" applyFont="1"/>
    <xf numFmtId="5" fontId="2" fillId="0" borderId="3" xfId="0" applyNumberFormat="1" applyFont="1" applyBorder="1"/>
    <xf numFmtId="5" fontId="3" fillId="0" borderId="0" xfId="0" applyNumberFormat="1" applyFo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164" fontId="2" fillId="0" borderId="3" xfId="1" applyNumberFormat="1" applyFont="1" applyFill="1" applyBorder="1" applyAlignment="1"/>
    <xf numFmtId="164" fontId="2" fillId="0" borderId="0" xfId="1" applyNumberFormat="1" applyFont="1" applyFill="1" applyBorder="1" applyAlignment="1"/>
    <xf numFmtId="0" fontId="5" fillId="0" borderId="0" xfId="1" applyNumberFormat="1" applyFont="1" applyAlignment="1"/>
    <xf numFmtId="164" fontId="5" fillId="0" borderId="0" xfId="1" applyNumberFormat="1" applyFont="1" applyAlignment="1"/>
    <xf numFmtId="164" fontId="5" fillId="0" borderId="0" xfId="1" applyNumberFormat="1" applyFont="1" applyBorder="1" applyAlignment="1"/>
    <xf numFmtId="167" fontId="8" fillId="0" borderId="0" xfId="0" applyNumberFormat="1" applyFont="1" applyBorder="1"/>
    <xf numFmtId="167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0" fontId="3" fillId="0" borderId="0" xfId="1" applyNumberFormat="1" applyFont="1" applyAlignment="1">
      <alignment horizontal="center" wrapText="1"/>
    </xf>
    <xf numFmtId="0" fontId="3" fillId="0" borderId="3" xfId="1" applyNumberFormat="1" applyFont="1" applyBorder="1" applyAlignment="1">
      <alignment horizontal="center"/>
    </xf>
  </cellXfs>
  <cellStyles count="5">
    <cellStyle name="Currency" xfId="2" builtinId="4"/>
    <cellStyle name="Normal" xfId="0" builtinId="0"/>
    <cellStyle name="Normal 2" xfId="1" xr:uid="{00000000-0005-0000-0000-000002000000}"/>
    <cellStyle name="Percent" xfId="3" builtinId="5"/>
    <cellStyle name="Title: Minor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73"/>
  <sheetViews>
    <sheetView tabSelected="1" workbookViewId="0">
      <pane xSplit="3" ySplit="9" topLeftCell="D30" activePane="bottomRight" state="frozen"/>
      <selection pane="topRight" activeCell="D1" sqref="D1"/>
      <selection pane="bottomLeft" activeCell="A10" sqref="A10"/>
      <selection pane="bottomRight" activeCell="C32" sqref="C32"/>
    </sheetView>
  </sheetViews>
  <sheetFormatPr defaultColWidth="9.1796875" defaultRowHeight="12.5" x14ac:dyDescent="0.25"/>
  <cols>
    <col min="1" max="1" width="9.1796875" style="15"/>
    <col min="2" max="2" width="8" style="15" customWidth="1"/>
    <col min="3" max="3" width="53.1796875" style="15" customWidth="1"/>
    <col min="4" max="4" width="14.26953125" style="15" bestFit="1" customWidth="1"/>
    <col min="5" max="5" width="16" style="15" bestFit="1" customWidth="1"/>
    <col min="6" max="6" width="13.26953125" style="23" customWidth="1"/>
    <col min="7" max="7" width="24.90625" style="23" bestFit="1" customWidth="1"/>
    <col min="8" max="8" width="12.81640625" style="23" bestFit="1" customWidth="1"/>
    <col min="9" max="16384" width="9.1796875" style="15"/>
  </cols>
  <sheetData>
    <row r="4" spans="1:8" ht="13" x14ac:dyDescent="0.3">
      <c r="A4" s="12"/>
      <c r="B4" s="3"/>
      <c r="C4" s="3"/>
    </row>
    <row r="5" spans="1:8" ht="15.75" customHeight="1" x14ac:dyDescent="0.3">
      <c r="A5" s="12"/>
      <c r="B5" s="101" t="s">
        <v>83</v>
      </c>
      <c r="C5" s="101"/>
      <c r="D5" s="101"/>
      <c r="E5" s="101"/>
      <c r="F5" s="24"/>
      <c r="G5" s="24"/>
      <c r="H5" s="24"/>
    </row>
    <row r="6" spans="1:8" ht="15.75" customHeight="1" x14ac:dyDescent="0.3">
      <c r="A6" s="12"/>
      <c r="B6" s="102" t="s">
        <v>84</v>
      </c>
      <c r="C6" s="102"/>
      <c r="D6" s="102"/>
      <c r="E6" s="102"/>
      <c r="F6" s="25"/>
      <c r="G6" s="48"/>
      <c r="H6" s="25"/>
    </row>
    <row r="7" spans="1:8" ht="15.75" customHeight="1" x14ac:dyDescent="0.3">
      <c r="A7" s="12"/>
      <c r="B7" s="29"/>
      <c r="C7" s="29"/>
      <c r="D7" s="99"/>
      <c r="E7" s="99"/>
      <c r="G7" s="100"/>
      <c r="H7" s="100"/>
    </row>
    <row r="8" spans="1:8" ht="13" x14ac:dyDescent="0.3">
      <c r="A8" s="12"/>
      <c r="B8" s="11"/>
      <c r="C8" s="12"/>
      <c r="D8" s="19" t="s">
        <v>28</v>
      </c>
      <c r="E8" s="19" t="s">
        <v>30</v>
      </c>
      <c r="G8" s="19"/>
      <c r="H8" s="19"/>
    </row>
    <row r="9" spans="1:8" s="17" customFormat="1" ht="13" x14ac:dyDescent="0.3">
      <c r="A9" s="20"/>
      <c r="B9" s="16"/>
      <c r="C9" s="30"/>
      <c r="D9" s="18" t="s">
        <v>29</v>
      </c>
      <c r="E9" s="18" t="s">
        <v>29</v>
      </c>
      <c r="F9" s="23"/>
      <c r="G9" s="19"/>
      <c r="H9" s="19"/>
    </row>
    <row r="10" spans="1:8" s="42" customFormat="1" ht="13" x14ac:dyDescent="0.3">
      <c r="A10" s="12"/>
      <c r="B10" s="4" t="s">
        <v>0</v>
      </c>
      <c r="C10" s="4"/>
      <c r="F10" s="43"/>
      <c r="G10" s="43"/>
      <c r="H10" s="43"/>
    </row>
    <row r="11" spans="1:8" s="42" customFormat="1" ht="13" x14ac:dyDescent="0.3">
      <c r="A11" s="12"/>
      <c r="B11" s="5"/>
      <c r="C11" s="5"/>
      <c r="D11" s="21"/>
      <c r="E11" s="44"/>
      <c r="F11" s="43"/>
      <c r="G11" s="21"/>
      <c r="H11" s="45"/>
    </row>
    <row r="12" spans="1:8" s="42" customFormat="1" ht="13" x14ac:dyDescent="0.3">
      <c r="A12" s="1"/>
      <c r="B12" s="2" t="s">
        <v>1</v>
      </c>
      <c r="C12" s="5" t="s">
        <v>2</v>
      </c>
      <c r="D12" s="6">
        <f>E12</f>
        <v>192893359</v>
      </c>
      <c r="E12" s="46">
        <f>39202375+153690984</f>
        <v>192893359</v>
      </c>
      <c r="F12" s="43"/>
      <c r="G12" s="21"/>
      <c r="H12" s="47"/>
    </row>
    <row r="13" spans="1:8" s="42" customFormat="1" ht="13" x14ac:dyDescent="0.3">
      <c r="A13" s="1"/>
      <c r="B13" s="5">
        <v>370</v>
      </c>
      <c r="C13" s="5" t="s">
        <v>3</v>
      </c>
      <c r="D13" s="6">
        <f>E13</f>
        <v>195567020</v>
      </c>
      <c r="E13" s="46">
        <v>195567020</v>
      </c>
      <c r="F13" s="43"/>
      <c r="G13" s="21"/>
      <c r="H13" s="47"/>
    </row>
    <row r="14" spans="1:8" s="42" customFormat="1" ht="13" x14ac:dyDescent="0.3">
      <c r="A14" s="1"/>
      <c r="B14" s="4"/>
      <c r="C14" s="8" t="s">
        <v>4</v>
      </c>
      <c r="D14" s="10">
        <f>SUM(D11:D13)</f>
        <v>388460379</v>
      </c>
      <c r="E14" s="10">
        <f>SUM(E11:E13)</f>
        <v>388460379</v>
      </c>
      <c r="F14" s="43"/>
      <c r="G14" s="26"/>
      <c r="H14" s="26"/>
    </row>
    <row r="15" spans="1:8" s="32" customFormat="1" ht="13" x14ac:dyDescent="0.3">
      <c r="A15" s="36"/>
      <c r="B15" s="31"/>
      <c r="C15" s="39"/>
      <c r="F15" s="33"/>
      <c r="G15" s="33"/>
      <c r="H15" s="33"/>
    </row>
    <row r="16" spans="1:8" s="42" customFormat="1" ht="13" x14ac:dyDescent="0.3">
      <c r="A16" s="12"/>
      <c r="B16" s="4" t="s">
        <v>5</v>
      </c>
      <c r="C16" s="11"/>
      <c r="F16" s="43"/>
      <c r="G16" s="43"/>
      <c r="H16" s="43"/>
    </row>
    <row r="17" spans="1:8" s="42" customFormat="1" ht="13" x14ac:dyDescent="0.3">
      <c r="A17" s="12"/>
      <c r="B17" s="4"/>
      <c r="C17" s="11"/>
      <c r="D17" s="22"/>
      <c r="E17" s="46"/>
      <c r="F17" s="43"/>
      <c r="G17" s="27"/>
      <c r="H17" s="47"/>
    </row>
    <row r="18" spans="1:8" s="46" customFormat="1" ht="13" x14ac:dyDescent="0.3">
      <c r="A18" s="13"/>
      <c r="B18" s="14"/>
      <c r="C18" s="6" t="s">
        <v>2</v>
      </c>
      <c r="D18" s="6">
        <f>E18</f>
        <v>140498070</v>
      </c>
      <c r="E18" s="46">
        <f>33411226+107086844</f>
        <v>140498070</v>
      </c>
      <c r="F18" s="47"/>
      <c r="G18" s="21"/>
      <c r="H18" s="47"/>
    </row>
    <row r="19" spans="1:8" s="46" customFormat="1" ht="13" x14ac:dyDescent="0.3">
      <c r="A19" s="13"/>
      <c r="B19" s="14"/>
      <c r="C19" s="6" t="s">
        <v>3</v>
      </c>
      <c r="D19" s="6">
        <f>E19</f>
        <v>28118259</v>
      </c>
      <c r="E19" s="46">
        <v>28118259</v>
      </c>
      <c r="F19" s="47"/>
      <c r="G19" s="21"/>
      <c r="H19" s="47"/>
    </row>
    <row r="20" spans="1:8" s="42" customFormat="1" ht="13" x14ac:dyDescent="0.3">
      <c r="A20" s="1"/>
      <c r="B20" s="4"/>
      <c r="C20" s="8" t="s">
        <v>6</v>
      </c>
      <c r="D20" s="9">
        <f>SUM(D17:D19)</f>
        <v>168616329</v>
      </c>
      <c r="E20" s="9">
        <f>SUM(E17:E19)</f>
        <v>168616329</v>
      </c>
      <c r="F20" s="43"/>
      <c r="G20" s="28"/>
      <c r="H20" s="28"/>
    </row>
    <row r="21" spans="1:8" s="42" customFormat="1" ht="13" x14ac:dyDescent="0.3">
      <c r="A21" s="1"/>
      <c r="B21" s="4"/>
      <c r="C21" s="11"/>
      <c r="F21" s="43"/>
      <c r="G21" s="43"/>
      <c r="H21" s="43"/>
    </row>
    <row r="22" spans="1:8" s="42" customFormat="1" ht="13" x14ac:dyDescent="0.3">
      <c r="A22" s="1"/>
      <c r="B22" s="4" t="s">
        <v>7</v>
      </c>
      <c r="C22" s="11"/>
      <c r="D22" s="7">
        <f>D14-D20</f>
        <v>219844050</v>
      </c>
      <c r="E22" s="7">
        <f>E14-E20</f>
        <v>219844050</v>
      </c>
      <c r="F22" s="43"/>
      <c r="G22" s="28"/>
      <c r="H22" s="28"/>
    </row>
    <row r="23" spans="1:8" s="32" customFormat="1" ht="13" x14ac:dyDescent="0.3">
      <c r="A23" s="36"/>
      <c r="B23" s="31"/>
      <c r="C23" s="39"/>
      <c r="F23" s="33"/>
      <c r="G23" s="33"/>
      <c r="H23" s="33"/>
    </row>
    <row r="24" spans="1:8" s="42" customFormat="1" ht="13" x14ac:dyDescent="0.3">
      <c r="A24" s="12"/>
      <c r="B24" s="4" t="s">
        <v>8</v>
      </c>
      <c r="C24" s="11"/>
      <c r="F24" s="43"/>
      <c r="G24" s="43"/>
      <c r="H24" s="43"/>
    </row>
    <row r="25" spans="1:8" s="42" customFormat="1" ht="13" x14ac:dyDescent="0.3">
      <c r="A25" s="12"/>
      <c r="B25" s="5">
        <v>586</v>
      </c>
      <c r="C25" s="5" t="s">
        <v>9</v>
      </c>
      <c r="D25" s="6">
        <v>1278297</v>
      </c>
      <c r="E25" s="46">
        <f>D25</f>
        <v>1278297</v>
      </c>
      <c r="F25" s="43"/>
      <c r="G25" s="21"/>
      <c r="H25" s="47"/>
    </row>
    <row r="26" spans="1:8" s="42" customFormat="1" ht="13" x14ac:dyDescent="0.3">
      <c r="A26" s="12"/>
      <c r="B26" s="5">
        <v>587</v>
      </c>
      <c r="C26" s="5" t="s">
        <v>26</v>
      </c>
      <c r="D26" s="6">
        <v>3194012</v>
      </c>
      <c r="E26" s="46">
        <f>D26</f>
        <v>3194012</v>
      </c>
      <c r="F26" s="43"/>
      <c r="G26" s="21"/>
      <c r="H26" s="47"/>
    </row>
    <row r="27" spans="1:8" s="42" customFormat="1" ht="13" x14ac:dyDescent="0.3">
      <c r="A27" s="12"/>
      <c r="B27" s="5">
        <v>597</v>
      </c>
      <c r="C27" s="5" t="s">
        <v>24</v>
      </c>
      <c r="D27" s="6">
        <v>481948</v>
      </c>
      <c r="E27" s="46">
        <f>D27</f>
        <v>481948</v>
      </c>
      <c r="F27" s="43"/>
      <c r="G27" s="21"/>
      <c r="H27" s="47"/>
    </row>
    <row r="28" spans="1:8" s="42" customFormat="1" ht="13" x14ac:dyDescent="0.3">
      <c r="A28" s="12"/>
      <c r="B28" s="5">
        <v>902</v>
      </c>
      <c r="C28" s="5" t="s">
        <v>23</v>
      </c>
      <c r="D28" s="6">
        <v>10620959</v>
      </c>
      <c r="E28" s="46">
        <f>D28</f>
        <v>10620959</v>
      </c>
      <c r="F28" s="43"/>
      <c r="G28" s="21"/>
      <c r="H28" s="47"/>
    </row>
    <row r="29" spans="1:8" s="42" customFormat="1" ht="13" x14ac:dyDescent="0.3">
      <c r="A29" s="12"/>
      <c r="B29" s="5">
        <v>903</v>
      </c>
      <c r="C29" s="5" t="s">
        <v>10</v>
      </c>
      <c r="D29" s="6">
        <v>19088912</v>
      </c>
      <c r="E29" s="46">
        <f>D29</f>
        <v>19088912</v>
      </c>
      <c r="F29" s="43"/>
      <c r="G29" s="21"/>
      <c r="H29" s="47"/>
    </row>
    <row r="30" spans="1:8" s="42" customFormat="1" ht="13" x14ac:dyDescent="0.3">
      <c r="A30" s="1"/>
      <c r="B30" s="4"/>
      <c r="C30" s="8" t="s">
        <v>11</v>
      </c>
      <c r="D30" s="10">
        <f>SUM(D25:D29)</f>
        <v>34664128</v>
      </c>
      <c r="E30" s="10">
        <f>SUM(E25:E29)</f>
        <v>34664128</v>
      </c>
      <c r="F30" s="43"/>
      <c r="G30" s="26"/>
      <c r="H30" s="26"/>
    </row>
    <row r="31" spans="1:8" s="32" customFormat="1" ht="13" x14ac:dyDescent="0.3">
      <c r="A31" s="36"/>
      <c r="B31" s="31"/>
      <c r="C31" s="39"/>
      <c r="F31" s="33"/>
      <c r="G31" s="33"/>
      <c r="H31" s="33"/>
    </row>
    <row r="32" spans="1:8" s="32" customFormat="1" ht="13" x14ac:dyDescent="0.3">
      <c r="A32" s="36"/>
      <c r="B32" s="4" t="s">
        <v>12</v>
      </c>
      <c r="C32" s="39"/>
      <c r="F32" s="33"/>
      <c r="G32" s="33"/>
      <c r="H32" s="33"/>
    </row>
    <row r="33" spans="1:8" s="32" customFormat="1" ht="13" x14ac:dyDescent="0.3">
      <c r="A33" s="36"/>
      <c r="B33" s="31"/>
      <c r="C33" s="39"/>
      <c r="D33" s="37"/>
      <c r="E33" s="37"/>
      <c r="F33" s="33"/>
      <c r="G33" s="38"/>
      <c r="H33" s="38"/>
    </row>
    <row r="34" spans="1:8" s="32" customFormat="1" ht="13" x14ac:dyDescent="0.3">
      <c r="A34" s="36"/>
      <c r="B34" s="34"/>
      <c r="C34" s="92" t="s">
        <v>85</v>
      </c>
      <c r="D34" s="93">
        <f>E34</f>
        <v>6076140.8085000003</v>
      </c>
      <c r="E34" s="93">
        <f>+E12*0.0315</f>
        <v>6076140.8085000003</v>
      </c>
      <c r="F34" s="94" t="s">
        <v>77</v>
      </c>
      <c r="H34" s="35"/>
    </row>
    <row r="35" spans="1:8" s="58" customFormat="1" ht="13" x14ac:dyDescent="0.3">
      <c r="A35" s="52"/>
      <c r="B35" s="59"/>
      <c r="C35" s="59" t="s">
        <v>86</v>
      </c>
      <c r="D35" s="90">
        <f>E35</f>
        <v>13536963.460478328</v>
      </c>
      <c r="E35" s="90">
        <f>+E13*'370'!H38</f>
        <v>13536963.460478328</v>
      </c>
      <c r="F35" s="91" t="s">
        <v>78</v>
      </c>
      <c r="H35" s="91"/>
    </row>
    <row r="36" spans="1:8" s="32" customFormat="1" ht="13" x14ac:dyDescent="0.3">
      <c r="A36" s="36"/>
      <c r="B36" s="31"/>
      <c r="C36" s="8" t="s">
        <v>13</v>
      </c>
      <c r="D36" s="46">
        <f>SUM(D33:D35)</f>
        <v>19613104.268978328</v>
      </c>
      <c r="E36" s="46">
        <f>SUM(E33:E35)</f>
        <v>19613104.268978328</v>
      </c>
      <c r="F36" s="33"/>
      <c r="G36" s="62"/>
      <c r="H36" s="38"/>
    </row>
    <row r="37" spans="1:8" s="32" customFormat="1" ht="13" x14ac:dyDescent="0.3">
      <c r="A37" s="36"/>
      <c r="B37" s="31"/>
      <c r="C37" s="39"/>
      <c r="F37" s="33"/>
      <c r="G37" s="33"/>
      <c r="H37" s="33"/>
    </row>
    <row r="38" spans="1:8" s="42" customFormat="1" ht="13" x14ac:dyDescent="0.3">
      <c r="A38" s="1"/>
      <c r="B38" s="4" t="s">
        <v>14</v>
      </c>
      <c r="C38" s="11"/>
      <c r="F38" s="43"/>
      <c r="G38" s="67"/>
      <c r="H38" s="43"/>
    </row>
    <row r="39" spans="1:8" s="42" customFormat="1" ht="13" x14ac:dyDescent="0.3">
      <c r="A39" s="1"/>
      <c r="B39" s="4"/>
      <c r="C39" s="11"/>
      <c r="F39" s="43"/>
      <c r="G39" s="43"/>
      <c r="H39" s="43"/>
    </row>
    <row r="40" spans="1:8" s="42" customFormat="1" ht="13" x14ac:dyDescent="0.3">
      <c r="A40" s="1"/>
      <c r="B40" s="4"/>
      <c r="C40" s="5" t="s">
        <v>15</v>
      </c>
      <c r="D40" s="46">
        <f>D22*$G63</f>
        <v>5584038.8700000001</v>
      </c>
      <c r="E40" s="46">
        <f>E22*$G63</f>
        <v>5584038.8700000001</v>
      </c>
      <c r="F40" s="43"/>
      <c r="G40" s="47"/>
      <c r="H40" s="47"/>
    </row>
    <row r="41" spans="1:8" s="42" customFormat="1" ht="13" x14ac:dyDescent="0.3">
      <c r="A41" s="1"/>
      <c r="B41" s="4"/>
      <c r="C41" s="5" t="s">
        <v>16</v>
      </c>
      <c r="D41" s="46">
        <f>D22*$G69</f>
        <v>9489568.4182499982</v>
      </c>
      <c r="E41" s="46">
        <f>E22*$G64</f>
        <v>10664634.865500001</v>
      </c>
      <c r="F41" s="47"/>
      <c r="G41" s="47"/>
      <c r="H41" s="47"/>
    </row>
    <row r="42" spans="1:8" s="42" customFormat="1" ht="13" x14ac:dyDescent="0.3">
      <c r="A42" s="1"/>
      <c r="B42" s="4"/>
      <c r="C42" s="5" t="s">
        <v>17</v>
      </c>
      <c r="D42" s="46">
        <f>(D41*(0.21/(1-0.21)))</f>
        <v>2522543.5035854424</v>
      </c>
      <c r="E42" s="46">
        <f>(E41*(0.21/(1-0.21)))</f>
        <v>2834902.9389303797</v>
      </c>
      <c r="F42" s="49"/>
      <c r="G42" s="47"/>
      <c r="H42" s="47"/>
    </row>
    <row r="43" spans="1:8" s="42" customFormat="1" ht="13" x14ac:dyDescent="0.3">
      <c r="A43" s="1"/>
      <c r="B43" s="4"/>
      <c r="C43" s="11"/>
      <c r="D43" s="46"/>
      <c r="F43" s="43"/>
      <c r="G43" s="47"/>
      <c r="H43" s="43"/>
    </row>
    <row r="44" spans="1:8" s="42" customFormat="1" ht="13" x14ac:dyDescent="0.3">
      <c r="A44" s="1"/>
      <c r="B44" s="4"/>
      <c r="C44" s="5" t="s">
        <v>18</v>
      </c>
      <c r="D44" s="46">
        <f>SUM(D40:D42)</f>
        <v>17596150.791835442</v>
      </c>
      <c r="E44" s="46">
        <f>SUM(E40:E42)</f>
        <v>19083576.674430382</v>
      </c>
      <c r="F44" s="43"/>
      <c r="G44" s="47"/>
      <c r="H44" s="47"/>
    </row>
    <row r="45" spans="1:8" s="42" customFormat="1" ht="13" x14ac:dyDescent="0.3">
      <c r="A45" s="1"/>
      <c r="B45" s="4"/>
      <c r="C45" s="11"/>
      <c r="D45" s="46"/>
      <c r="F45" s="43"/>
      <c r="G45" s="47"/>
      <c r="H45" s="43"/>
    </row>
    <row r="46" spans="1:8" s="42" customFormat="1" ht="13" x14ac:dyDescent="0.3">
      <c r="A46" s="1"/>
      <c r="B46" s="4"/>
      <c r="C46" s="5" t="s">
        <v>19</v>
      </c>
      <c r="D46" s="46">
        <f>D30</f>
        <v>34664128</v>
      </c>
      <c r="E46" s="46">
        <f>E30</f>
        <v>34664128</v>
      </c>
      <c r="F46" s="43"/>
      <c r="G46" s="47"/>
      <c r="H46" s="47"/>
    </row>
    <row r="47" spans="1:8" s="42" customFormat="1" ht="13" x14ac:dyDescent="0.3">
      <c r="A47" s="1"/>
      <c r="B47" s="4"/>
      <c r="C47" s="5" t="s">
        <v>12</v>
      </c>
      <c r="D47" s="46">
        <f>D36</f>
        <v>19613104.268978328</v>
      </c>
      <c r="E47" s="46">
        <f>E36</f>
        <v>19613104.268978328</v>
      </c>
      <c r="F47" s="43"/>
      <c r="G47" s="47"/>
      <c r="H47" s="47"/>
    </row>
    <row r="48" spans="1:8" s="42" customFormat="1" ht="13" x14ac:dyDescent="0.3">
      <c r="A48" s="1"/>
      <c r="B48" s="4"/>
      <c r="C48" s="11"/>
      <c r="D48" s="46"/>
      <c r="F48" s="43"/>
      <c r="G48" s="47"/>
      <c r="H48" s="43"/>
    </row>
    <row r="49" spans="1:8" s="42" customFormat="1" ht="13" x14ac:dyDescent="0.3">
      <c r="A49" s="1"/>
      <c r="B49" s="4"/>
      <c r="C49" s="5" t="s">
        <v>27</v>
      </c>
      <c r="D49" s="46">
        <f>SUM(D44:D47)</f>
        <v>71873383.06081377</v>
      </c>
      <c r="E49" s="46">
        <f>SUM(E44:E47)</f>
        <v>73360808.943408713</v>
      </c>
      <c r="F49" s="43"/>
      <c r="G49" s="47"/>
      <c r="H49" s="47"/>
    </row>
    <row r="50" spans="1:8" s="42" customFormat="1" ht="13" x14ac:dyDescent="0.3">
      <c r="A50" s="1"/>
      <c r="B50" s="4"/>
      <c r="C50" s="5" t="s">
        <v>80</v>
      </c>
      <c r="D50" s="96">
        <v>0.95234799999999997</v>
      </c>
      <c r="E50" s="96">
        <v>0.95234799999999997</v>
      </c>
      <c r="F50" s="43"/>
      <c r="G50" s="95"/>
      <c r="H50" s="77"/>
    </row>
    <row r="51" spans="1:8" s="42" customFormat="1" ht="13" x14ac:dyDescent="0.3">
      <c r="A51" s="1"/>
      <c r="B51" s="4"/>
      <c r="C51" s="5"/>
      <c r="D51" s="46"/>
      <c r="E51" s="46"/>
      <c r="F51" s="43"/>
      <c r="G51" s="47"/>
      <c r="H51" s="47"/>
    </row>
    <row r="52" spans="1:8" s="42" customFormat="1" ht="13" x14ac:dyDescent="0.3">
      <c r="A52" s="1"/>
      <c r="B52" s="4"/>
      <c r="C52" s="8" t="s">
        <v>20</v>
      </c>
      <c r="D52" s="10">
        <f>D49/D50</f>
        <v>75469663.464210317</v>
      </c>
      <c r="E52" s="10">
        <f>E49/E50</f>
        <v>77031514.68098712</v>
      </c>
      <c r="F52" s="43"/>
      <c r="G52" s="26"/>
      <c r="H52" s="26"/>
    </row>
    <row r="53" spans="1:8" s="32" customFormat="1" ht="13" x14ac:dyDescent="0.3">
      <c r="A53" s="36"/>
      <c r="B53" s="31"/>
      <c r="C53" s="39"/>
      <c r="F53" s="33"/>
      <c r="G53" s="33"/>
      <c r="H53" s="33"/>
    </row>
    <row r="54" spans="1:8" s="58" customFormat="1" ht="13" x14ac:dyDescent="0.3">
      <c r="A54" s="52"/>
      <c r="B54" s="53"/>
      <c r="C54" s="54" t="s">
        <v>79</v>
      </c>
      <c r="D54" s="55">
        <v>1046434</v>
      </c>
      <c r="E54" s="55">
        <f>D54</f>
        <v>1046434</v>
      </c>
      <c r="F54" s="56"/>
      <c r="G54" s="57"/>
      <c r="H54" s="57"/>
    </row>
    <row r="55" spans="1:8" s="58" customFormat="1" ht="13" x14ac:dyDescent="0.3">
      <c r="A55" s="52"/>
      <c r="B55" s="53"/>
      <c r="C55" s="59" t="s">
        <v>21</v>
      </c>
      <c r="D55" s="60">
        <f>D54*12</f>
        <v>12557208</v>
      </c>
      <c r="E55" s="60">
        <f>E54*12</f>
        <v>12557208</v>
      </c>
      <c r="F55" s="56"/>
      <c r="G55" s="61"/>
      <c r="H55" s="61"/>
    </row>
    <row r="56" spans="1:8" s="32" customFormat="1" ht="13.5" thickBot="1" x14ac:dyDescent="0.35">
      <c r="A56" s="36"/>
      <c r="B56" s="31"/>
      <c r="C56" s="40"/>
      <c r="D56" s="41"/>
      <c r="E56" s="41"/>
      <c r="F56" s="33"/>
      <c r="G56" s="33"/>
      <c r="H56" s="33"/>
    </row>
    <row r="57" spans="1:8" s="42" customFormat="1" ht="13.5" thickTop="1" x14ac:dyDescent="0.3">
      <c r="A57" s="1"/>
      <c r="B57" s="4"/>
      <c r="C57" s="78" t="s">
        <v>22</v>
      </c>
      <c r="D57" s="79">
        <f>D52/D55</f>
        <v>6.0100671633543312</v>
      </c>
      <c r="E57" s="79">
        <f>E52/E55</f>
        <v>6.1344460234302973</v>
      </c>
      <c r="F57" s="43"/>
      <c r="G57" s="49"/>
      <c r="H57" s="49"/>
    </row>
    <row r="58" spans="1:8" s="32" customFormat="1" ht="13" x14ac:dyDescent="0.3">
      <c r="A58" s="36"/>
      <c r="B58" s="31"/>
      <c r="C58" s="39"/>
      <c r="F58" s="33"/>
      <c r="G58" s="33"/>
      <c r="H58" s="33"/>
    </row>
    <row r="59" spans="1:8" s="32" customFormat="1" x14ac:dyDescent="0.25">
      <c r="B59" s="15" t="s">
        <v>81</v>
      </c>
      <c r="C59" s="39"/>
      <c r="F59" s="43" t="s">
        <v>71</v>
      </c>
      <c r="G59" s="33"/>
      <c r="H59" s="33"/>
    </row>
    <row r="60" spans="1:8" s="32" customFormat="1" x14ac:dyDescent="0.25">
      <c r="B60" s="42" t="s">
        <v>82</v>
      </c>
      <c r="C60" s="39"/>
    </row>
    <row r="61" spans="1:8" s="32" customFormat="1" x14ac:dyDescent="0.25">
      <c r="H61" s="33"/>
    </row>
    <row r="62" spans="1:8" s="32" customFormat="1" x14ac:dyDescent="0.25">
      <c r="D62" s="11" t="s">
        <v>25</v>
      </c>
      <c r="E62" s="98" t="s">
        <v>34</v>
      </c>
      <c r="F62" s="98"/>
      <c r="G62" s="98"/>
      <c r="H62" s="33"/>
    </row>
    <row r="63" spans="1:8" s="32" customFormat="1" x14ac:dyDescent="0.25">
      <c r="D63" s="42" t="s">
        <v>31</v>
      </c>
      <c r="E63" s="50">
        <v>0.51</v>
      </c>
      <c r="F63" s="51">
        <v>4.9799999999999997E-2</v>
      </c>
      <c r="G63" s="51">
        <f>ROUND((F63*E63),4)</f>
        <v>2.5399999999999999E-2</v>
      </c>
      <c r="H63" s="33"/>
    </row>
    <row r="64" spans="1:8" s="32" customFormat="1" x14ac:dyDescent="0.25">
      <c r="D64" s="42" t="s">
        <v>32</v>
      </c>
      <c r="E64" s="50">
        <v>0.49</v>
      </c>
      <c r="F64" s="51">
        <v>9.9000000000000005E-2</v>
      </c>
      <c r="G64" s="51">
        <f>F64*E64</f>
        <v>4.8510000000000005E-2</v>
      </c>
      <c r="H64" s="33"/>
    </row>
    <row r="65" spans="4:8" s="32" customFormat="1" x14ac:dyDescent="0.25">
      <c r="D65" s="42"/>
      <c r="E65" s="50"/>
      <c r="G65" s="51">
        <f>G64+G63</f>
        <v>7.3910000000000003E-2</v>
      </c>
      <c r="H65" s="33"/>
    </row>
    <row r="66" spans="4:8" s="32" customFormat="1" x14ac:dyDescent="0.25">
      <c r="F66" s="33"/>
      <c r="G66" s="33"/>
      <c r="H66" s="33"/>
    </row>
    <row r="67" spans="4:8" s="32" customFormat="1" x14ac:dyDescent="0.25">
      <c r="D67" s="11" t="s">
        <v>25</v>
      </c>
      <c r="E67" s="97" t="s">
        <v>33</v>
      </c>
      <c r="F67" s="97"/>
      <c r="G67" s="97"/>
      <c r="H67" s="33"/>
    </row>
    <row r="68" spans="4:8" s="32" customFormat="1" x14ac:dyDescent="0.25">
      <c r="D68" s="42" t="s">
        <v>31</v>
      </c>
      <c r="E68" s="50">
        <v>0.51500000000000001</v>
      </c>
      <c r="F68" s="51">
        <v>0.05</v>
      </c>
      <c r="G68" s="51">
        <f>(F68*E68)</f>
        <v>2.5750000000000002E-2</v>
      </c>
      <c r="H68" s="33"/>
    </row>
    <row r="69" spans="4:8" x14ac:dyDescent="0.25">
      <c r="D69" s="42" t="s">
        <v>32</v>
      </c>
      <c r="E69" s="50">
        <v>0.48499999999999999</v>
      </c>
      <c r="F69" s="51">
        <v>8.8999999999999996E-2</v>
      </c>
      <c r="G69" s="51">
        <f>F69*E69</f>
        <v>4.3164999999999995E-2</v>
      </c>
    </row>
    <row r="70" spans="4:8" x14ac:dyDescent="0.25">
      <c r="D70" s="42"/>
      <c r="E70" s="50"/>
      <c r="F70" s="51"/>
      <c r="G70" s="51">
        <f>G69+G68</f>
        <v>6.8915000000000004E-2</v>
      </c>
    </row>
    <row r="72" spans="4:8" s="42" customFormat="1" x14ac:dyDescent="0.25">
      <c r="F72" s="43"/>
      <c r="G72" s="43"/>
      <c r="H72" s="43"/>
    </row>
    <row r="73" spans="4:8" s="42" customFormat="1" x14ac:dyDescent="0.25">
      <c r="F73" s="43"/>
      <c r="G73" s="43"/>
      <c r="H73" s="43"/>
    </row>
  </sheetData>
  <mergeCells count="5">
    <mergeCell ref="D7:E7"/>
    <mergeCell ref="G7:H7"/>
    <mergeCell ref="B5:E5"/>
    <mergeCell ref="B6:E6"/>
    <mergeCell ref="E62:G62"/>
  </mergeCells>
  <printOptions horizontalCentered="1"/>
  <pageMargins left="0.7" right="0.7" top="1" bottom="1" header="0.3" footer="0.3"/>
  <pageSetup scale="88" fitToWidth="0" orientation="portrait" r:id="rId1"/>
  <headerFooter>
    <oddHeader>&amp;RExhibit GAW-6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C613F-BF74-469B-9EE6-0BDF91ACF19D}">
  <dimension ref="B1:J41"/>
  <sheetViews>
    <sheetView topLeftCell="C1" workbookViewId="0">
      <pane xSplit="2" ySplit="3" topLeftCell="E4" activePane="bottomRight" state="frozen"/>
      <selection activeCell="C1" sqref="C1"/>
      <selection pane="topRight" activeCell="E1" sqref="E1"/>
      <selection pane="bottomLeft" activeCell="C4" sqref="C4"/>
      <selection pane="bottomRight" activeCell="G41" sqref="G41"/>
    </sheetView>
  </sheetViews>
  <sheetFormatPr defaultRowHeight="14.5" x14ac:dyDescent="0.35"/>
  <cols>
    <col min="2" max="2" width="25.6328125" bestFit="1" customWidth="1"/>
    <col min="3" max="3" width="28.36328125" customWidth="1"/>
    <col min="4" max="4" width="8.453125" bestFit="1" customWidth="1"/>
    <col min="5" max="5" width="24.6328125" bestFit="1" customWidth="1"/>
    <col min="6" max="6" width="12.90625" bestFit="1" customWidth="1"/>
    <col min="7" max="7" width="6.6328125" customWidth="1"/>
    <col min="8" max="8" width="8.81640625" bestFit="1" customWidth="1"/>
    <col min="9" max="9" width="26.54296875" bestFit="1" customWidth="1"/>
    <col min="10" max="10" width="30.08984375" bestFit="1" customWidth="1"/>
    <col min="14" max="14" width="14.6328125" bestFit="1" customWidth="1"/>
    <col min="15" max="15" width="13.6328125" bestFit="1" customWidth="1"/>
    <col min="16" max="16" width="12.6328125" bestFit="1" customWidth="1"/>
  </cols>
  <sheetData>
    <row r="1" spans="2:10" x14ac:dyDescent="0.35">
      <c r="D1" s="66" t="s">
        <v>70</v>
      </c>
    </row>
    <row r="3" spans="2:10" x14ac:dyDescent="0.35">
      <c r="B3" t="s">
        <v>66</v>
      </c>
      <c r="D3" t="s">
        <v>67</v>
      </c>
      <c r="E3" t="s">
        <v>68</v>
      </c>
      <c r="F3" t="s">
        <v>69</v>
      </c>
    </row>
    <row r="6" spans="2:10" x14ac:dyDescent="0.35">
      <c r="B6" s="42" t="s">
        <v>35</v>
      </c>
      <c r="C6" s="42" t="s">
        <v>36</v>
      </c>
      <c r="D6" s="42" t="s">
        <v>37</v>
      </c>
      <c r="E6" s="85">
        <v>138870783.52000001</v>
      </c>
      <c r="F6" s="64">
        <v>8.3400000000000002E-2</v>
      </c>
      <c r="G6" s="63"/>
      <c r="H6" s="63"/>
      <c r="I6" s="64"/>
      <c r="J6" s="63"/>
    </row>
    <row r="7" spans="2:10" x14ac:dyDescent="0.35">
      <c r="B7" s="42" t="s">
        <v>35</v>
      </c>
      <c r="C7" s="42" t="s">
        <v>38</v>
      </c>
      <c r="D7" s="42" t="s">
        <v>37</v>
      </c>
      <c r="E7" s="85">
        <v>137904042.59</v>
      </c>
      <c r="F7" s="64">
        <v>8.3400000000000002E-2</v>
      </c>
      <c r="G7" s="63"/>
      <c r="H7" s="63"/>
      <c r="I7" s="64"/>
      <c r="J7" s="63"/>
    </row>
    <row r="8" spans="2:10" x14ac:dyDescent="0.35">
      <c r="B8" s="42" t="s">
        <v>35</v>
      </c>
      <c r="C8" s="42" t="s">
        <v>39</v>
      </c>
      <c r="D8" s="42" t="s">
        <v>37</v>
      </c>
      <c r="E8" s="85">
        <v>136796679.84999999</v>
      </c>
      <c r="F8" s="64">
        <v>8.3400000000000002E-2</v>
      </c>
      <c r="G8" s="63"/>
      <c r="H8" s="63"/>
      <c r="I8" s="64"/>
      <c r="J8" s="63"/>
    </row>
    <row r="9" spans="2:10" x14ac:dyDescent="0.35">
      <c r="B9" s="42" t="s">
        <v>35</v>
      </c>
      <c r="C9" s="42" t="s">
        <v>40</v>
      </c>
      <c r="D9" s="42" t="s">
        <v>37</v>
      </c>
      <c r="E9" s="85">
        <v>135259518.33000001</v>
      </c>
      <c r="F9" s="64">
        <v>8.3400000000000002E-2</v>
      </c>
      <c r="G9" s="63"/>
      <c r="H9" s="63"/>
      <c r="I9" s="64"/>
      <c r="J9" s="63"/>
    </row>
    <row r="10" spans="2:10" x14ac:dyDescent="0.35">
      <c r="B10" s="42" t="s">
        <v>35</v>
      </c>
      <c r="C10" s="42" t="s">
        <v>41</v>
      </c>
      <c r="D10" s="42" t="s">
        <v>37</v>
      </c>
      <c r="E10" s="85">
        <v>134257078.49000001</v>
      </c>
      <c r="F10" s="64">
        <v>8.3400000000000002E-2</v>
      </c>
      <c r="G10" s="63"/>
      <c r="H10" s="63"/>
      <c r="I10" s="64"/>
      <c r="J10" s="63"/>
    </row>
    <row r="11" spans="2:10" x14ac:dyDescent="0.35">
      <c r="B11" s="42" t="s">
        <v>35</v>
      </c>
      <c r="C11" s="42" t="s">
        <v>42</v>
      </c>
      <c r="D11" s="42" t="s">
        <v>37</v>
      </c>
      <c r="E11" s="85">
        <v>132522077.48</v>
      </c>
      <c r="F11" s="64">
        <v>8.3400000000000002E-2</v>
      </c>
      <c r="G11" s="63"/>
      <c r="H11" s="63"/>
      <c r="I11" s="64"/>
      <c r="J11" s="63"/>
    </row>
    <row r="12" spans="2:10" x14ac:dyDescent="0.35">
      <c r="B12" s="42" t="s">
        <v>35</v>
      </c>
      <c r="C12" s="42" t="s">
        <v>43</v>
      </c>
      <c r="D12" s="42" t="s">
        <v>37</v>
      </c>
      <c r="E12" s="85">
        <v>130159758.48</v>
      </c>
      <c r="F12" s="64">
        <v>8.3400000000000002E-2</v>
      </c>
      <c r="G12" s="63"/>
      <c r="H12" s="63"/>
      <c r="I12" s="64"/>
      <c r="J12" s="63"/>
    </row>
    <row r="13" spans="2:10" x14ac:dyDescent="0.35">
      <c r="B13" s="42" t="s">
        <v>35</v>
      </c>
      <c r="C13" s="42" t="s">
        <v>44</v>
      </c>
      <c r="D13" s="42" t="s">
        <v>37</v>
      </c>
      <c r="E13" s="85">
        <v>128048209.03</v>
      </c>
      <c r="F13" s="64">
        <v>8.3400000000000002E-2</v>
      </c>
      <c r="G13" s="63"/>
      <c r="H13" s="63"/>
      <c r="I13" s="64"/>
      <c r="J13" s="63"/>
    </row>
    <row r="14" spans="2:10" x14ac:dyDescent="0.35">
      <c r="B14" s="42" t="s">
        <v>35</v>
      </c>
      <c r="C14" s="42" t="s">
        <v>45</v>
      </c>
      <c r="D14" s="42" t="s">
        <v>37</v>
      </c>
      <c r="E14" s="85">
        <v>125790824.08</v>
      </c>
      <c r="F14" s="64">
        <v>8.3400000000000002E-2</v>
      </c>
      <c r="G14" s="63"/>
      <c r="H14" s="63"/>
      <c r="I14" s="64"/>
      <c r="J14" s="63"/>
    </row>
    <row r="15" spans="2:10" x14ac:dyDescent="0.35">
      <c r="B15" s="42" t="s">
        <v>35</v>
      </c>
      <c r="C15" s="42" t="s">
        <v>46</v>
      </c>
      <c r="D15" s="42" t="s">
        <v>37</v>
      </c>
      <c r="E15" s="85">
        <v>123028596.18000001</v>
      </c>
      <c r="F15" s="64">
        <v>8.3400000000000002E-2</v>
      </c>
      <c r="G15" s="63"/>
      <c r="H15" s="63"/>
      <c r="I15" s="64"/>
      <c r="J15" s="63"/>
    </row>
    <row r="16" spans="2:10" x14ac:dyDescent="0.35">
      <c r="B16" s="42" t="s">
        <v>35</v>
      </c>
      <c r="C16" s="42" t="s">
        <v>47</v>
      </c>
      <c r="D16" s="42" t="s">
        <v>37</v>
      </c>
      <c r="E16" s="85">
        <v>120817189.29000001</v>
      </c>
      <c r="F16" s="64">
        <v>8.3400000000000002E-2</v>
      </c>
      <c r="G16" s="63"/>
      <c r="H16" s="63"/>
      <c r="I16" s="64"/>
      <c r="J16" s="63"/>
    </row>
    <row r="17" spans="2:10" x14ac:dyDescent="0.35">
      <c r="B17" s="71" t="s">
        <v>35</v>
      </c>
      <c r="C17" s="71" t="s">
        <v>48</v>
      </c>
      <c r="D17" s="71" t="s">
        <v>37</v>
      </c>
      <c r="E17" s="86">
        <v>120194688.27</v>
      </c>
      <c r="F17" s="73">
        <v>8.3400000000000002E-2</v>
      </c>
      <c r="G17" s="72"/>
      <c r="H17" s="72"/>
      <c r="I17" s="73"/>
      <c r="J17" s="72"/>
    </row>
    <row r="18" spans="2:10" s="66" customFormat="1" x14ac:dyDescent="0.35">
      <c r="B18" s="65" t="s">
        <v>49</v>
      </c>
      <c r="C18" s="65" t="s">
        <v>51</v>
      </c>
      <c r="D18" s="65"/>
      <c r="E18" s="87">
        <f>SUM(E6:E17)</f>
        <v>1563649445.5900002</v>
      </c>
      <c r="F18" s="70"/>
      <c r="G18" s="69"/>
      <c r="H18" s="69"/>
      <c r="I18" s="70"/>
      <c r="J18" s="69"/>
    </row>
    <row r="19" spans="2:10" x14ac:dyDescent="0.35">
      <c r="B19" s="65"/>
      <c r="C19" s="42"/>
      <c r="D19" s="42"/>
      <c r="E19" s="85"/>
      <c r="F19" s="64"/>
      <c r="G19" s="63"/>
      <c r="H19" s="63"/>
      <c r="I19" s="64"/>
      <c r="J19" s="63"/>
    </row>
    <row r="20" spans="2:10" x14ac:dyDescent="0.35">
      <c r="B20" s="42" t="s">
        <v>52</v>
      </c>
      <c r="C20" s="42" t="s">
        <v>53</v>
      </c>
      <c r="D20" s="42" t="s">
        <v>37</v>
      </c>
      <c r="E20" s="85">
        <v>104860687.52</v>
      </c>
      <c r="F20" s="64">
        <v>5.5E-2</v>
      </c>
      <c r="G20" s="63"/>
      <c r="H20" s="63"/>
      <c r="I20" s="64"/>
      <c r="J20" s="63"/>
    </row>
    <row r="21" spans="2:10" x14ac:dyDescent="0.35">
      <c r="B21" s="42" t="s">
        <v>52</v>
      </c>
      <c r="C21" s="42" t="s">
        <v>54</v>
      </c>
      <c r="D21" s="42" t="s">
        <v>37</v>
      </c>
      <c r="E21" s="85">
        <v>108452822.69</v>
      </c>
      <c r="F21" s="64">
        <v>5.5E-2</v>
      </c>
      <c r="G21" s="63"/>
      <c r="H21" s="63"/>
      <c r="I21" s="64"/>
      <c r="J21" s="63"/>
    </row>
    <row r="22" spans="2:10" x14ac:dyDescent="0.35">
      <c r="B22" s="42" t="s">
        <v>52</v>
      </c>
      <c r="C22" s="42" t="s">
        <v>55</v>
      </c>
      <c r="D22" s="42" t="s">
        <v>37</v>
      </c>
      <c r="E22" s="85">
        <v>118910884.47</v>
      </c>
      <c r="F22" s="64">
        <v>5.5E-2</v>
      </c>
      <c r="G22" s="63"/>
      <c r="H22" s="63"/>
      <c r="I22" s="64"/>
      <c r="J22" s="63"/>
    </row>
    <row r="23" spans="2:10" x14ac:dyDescent="0.35">
      <c r="B23" s="42" t="s">
        <v>52</v>
      </c>
      <c r="C23" s="42" t="s">
        <v>56</v>
      </c>
      <c r="D23" s="42" t="s">
        <v>37</v>
      </c>
      <c r="E23" s="85">
        <v>119928334.44</v>
      </c>
      <c r="F23" s="64">
        <v>5.5E-2</v>
      </c>
      <c r="G23" s="63"/>
      <c r="H23" s="63"/>
      <c r="I23" s="64"/>
      <c r="J23" s="63"/>
    </row>
    <row r="24" spans="2:10" x14ac:dyDescent="0.35">
      <c r="B24" s="42" t="s">
        <v>52</v>
      </c>
      <c r="C24" s="42" t="s">
        <v>57</v>
      </c>
      <c r="D24" s="42" t="s">
        <v>37</v>
      </c>
      <c r="E24" s="85">
        <v>121709172.26000001</v>
      </c>
      <c r="F24" s="64">
        <v>5.5E-2</v>
      </c>
      <c r="G24" s="63"/>
      <c r="H24" s="63"/>
      <c r="I24" s="64"/>
      <c r="J24" s="63"/>
    </row>
    <row r="25" spans="2:10" x14ac:dyDescent="0.35">
      <c r="B25" s="42" t="s">
        <v>52</v>
      </c>
      <c r="C25" s="42" t="s">
        <v>58</v>
      </c>
      <c r="D25" s="42" t="s">
        <v>37</v>
      </c>
      <c r="E25" s="85">
        <v>129016630.54000001</v>
      </c>
      <c r="F25" s="64">
        <v>5.5E-2</v>
      </c>
      <c r="G25" s="63"/>
      <c r="H25" s="63"/>
      <c r="I25" s="64"/>
      <c r="J25" s="63"/>
    </row>
    <row r="26" spans="2:10" x14ac:dyDescent="0.35">
      <c r="B26" s="42" t="s">
        <v>52</v>
      </c>
      <c r="C26" s="42" t="s">
        <v>59</v>
      </c>
      <c r="D26" s="42" t="s">
        <v>37</v>
      </c>
      <c r="E26" s="85">
        <v>133406290.62</v>
      </c>
      <c r="F26" s="64">
        <v>5.5E-2</v>
      </c>
      <c r="G26" s="63"/>
      <c r="H26" s="63"/>
      <c r="I26" s="64"/>
      <c r="J26" s="63"/>
    </row>
    <row r="27" spans="2:10" x14ac:dyDescent="0.35">
      <c r="B27" s="42" t="s">
        <v>52</v>
      </c>
      <c r="C27" s="42" t="s">
        <v>60</v>
      </c>
      <c r="D27" s="42" t="s">
        <v>37</v>
      </c>
      <c r="E27" s="85">
        <v>134059959.81</v>
      </c>
      <c r="F27" s="64">
        <v>5.5E-2</v>
      </c>
      <c r="G27" s="63"/>
      <c r="H27" s="63"/>
      <c r="I27" s="64"/>
      <c r="J27" s="63"/>
    </row>
    <row r="28" spans="2:10" x14ac:dyDescent="0.35">
      <c r="B28" s="42" t="s">
        <v>52</v>
      </c>
      <c r="C28" s="42" t="s">
        <v>61</v>
      </c>
      <c r="D28" s="42" t="s">
        <v>37</v>
      </c>
      <c r="E28" s="85">
        <v>142424871.41</v>
      </c>
      <c r="F28" s="64">
        <v>5.5E-2</v>
      </c>
      <c r="G28" s="63"/>
      <c r="H28" s="63"/>
      <c r="I28" s="64"/>
      <c r="J28" s="63"/>
    </row>
    <row r="29" spans="2:10" x14ac:dyDescent="0.35">
      <c r="B29" s="42" t="s">
        <v>52</v>
      </c>
      <c r="C29" s="42" t="s">
        <v>62</v>
      </c>
      <c r="D29" s="42" t="s">
        <v>37</v>
      </c>
      <c r="E29" s="85">
        <v>142709554.24000001</v>
      </c>
      <c r="F29" s="64">
        <v>5.5E-2</v>
      </c>
      <c r="G29" s="63"/>
      <c r="H29" s="63"/>
      <c r="I29" s="64"/>
      <c r="J29" s="63"/>
    </row>
    <row r="30" spans="2:10" x14ac:dyDescent="0.35">
      <c r="B30" s="42" t="s">
        <v>52</v>
      </c>
      <c r="C30" s="42" t="s">
        <v>63</v>
      </c>
      <c r="D30" s="42" t="s">
        <v>37</v>
      </c>
      <c r="E30" s="85">
        <v>146553360.65000001</v>
      </c>
      <c r="F30" s="64">
        <v>5.5E-2</v>
      </c>
      <c r="G30" s="63"/>
      <c r="H30" s="63"/>
      <c r="I30" s="64"/>
      <c r="J30" s="63"/>
    </row>
    <row r="31" spans="2:10" x14ac:dyDescent="0.35">
      <c r="B31" s="71" t="s">
        <v>52</v>
      </c>
      <c r="C31" s="71" t="s">
        <v>64</v>
      </c>
      <c r="D31" s="71" t="s">
        <v>37</v>
      </c>
      <c r="E31" s="86">
        <v>157426932.03999999</v>
      </c>
      <c r="F31" s="73">
        <v>5.5E-2</v>
      </c>
      <c r="G31" s="72"/>
      <c r="H31" s="72"/>
      <c r="I31" s="73"/>
      <c r="J31" s="72"/>
    </row>
    <row r="32" spans="2:10" s="66" customFormat="1" x14ac:dyDescent="0.35">
      <c r="B32" s="65" t="s">
        <v>65</v>
      </c>
      <c r="C32" s="65"/>
      <c r="D32" s="65" t="s">
        <v>50</v>
      </c>
      <c r="E32" s="87">
        <f>SUM(E20:E31)</f>
        <v>1559459500.6900001</v>
      </c>
      <c r="F32" s="70"/>
      <c r="G32" s="69"/>
      <c r="H32" s="69"/>
      <c r="I32" s="70"/>
      <c r="J32" s="69"/>
    </row>
    <row r="33" spans="2:10" s="66" customFormat="1" x14ac:dyDescent="0.35">
      <c r="B33" s="65"/>
      <c r="C33" s="65"/>
      <c r="D33" s="65"/>
      <c r="E33" s="87"/>
      <c r="F33" s="70"/>
      <c r="G33" s="69"/>
      <c r="H33" s="69"/>
      <c r="I33" s="70"/>
      <c r="J33" s="69"/>
    </row>
    <row r="34" spans="2:10" x14ac:dyDescent="0.35">
      <c r="C34" s="88"/>
      <c r="D34" s="88"/>
      <c r="E34" s="88"/>
      <c r="F34" s="88"/>
      <c r="G34" s="88" t="s">
        <v>76</v>
      </c>
      <c r="H34" s="88" t="s">
        <v>74</v>
      </c>
    </row>
    <row r="35" spans="2:10" x14ac:dyDescent="0.35">
      <c r="C35" s="89" t="s">
        <v>51</v>
      </c>
      <c r="D35" s="89"/>
      <c r="E35" s="89" t="s">
        <v>72</v>
      </c>
      <c r="F35" s="89" t="s">
        <v>73</v>
      </c>
      <c r="G35" s="89" t="s">
        <v>75</v>
      </c>
      <c r="H35" s="89" t="s">
        <v>75</v>
      </c>
    </row>
    <row r="36" spans="2:10" x14ac:dyDescent="0.35">
      <c r="C36" s="42" t="s">
        <v>35</v>
      </c>
      <c r="E36" s="80">
        <f>+E18</f>
        <v>1563649445.5900002</v>
      </c>
      <c r="F36" s="68">
        <f>+E36/E38</f>
        <v>0.50067079710827744</v>
      </c>
      <c r="G36" s="74">
        <f>F6</f>
        <v>8.3400000000000002E-2</v>
      </c>
      <c r="H36" s="68">
        <f>+F36*G36</f>
        <v>4.175594447883034E-2</v>
      </c>
    </row>
    <row r="37" spans="2:10" x14ac:dyDescent="0.35">
      <c r="C37" s="71" t="s">
        <v>52</v>
      </c>
      <c r="D37" s="81"/>
      <c r="E37" s="82">
        <f>+E32</f>
        <v>1559459500.6900001</v>
      </c>
      <c r="F37" s="83">
        <f>+E37/E38</f>
        <v>0.49932920289172256</v>
      </c>
      <c r="G37" s="83">
        <f>F20</f>
        <v>5.5E-2</v>
      </c>
      <c r="H37" s="84">
        <f>+G37*F37</f>
        <v>2.746310615904474E-2</v>
      </c>
    </row>
    <row r="38" spans="2:10" x14ac:dyDescent="0.35">
      <c r="C38" t="s">
        <v>51</v>
      </c>
      <c r="E38" s="80">
        <f>+E37+E36</f>
        <v>3123108946.2800002</v>
      </c>
      <c r="F38" s="74">
        <f>+F37+F36</f>
        <v>1</v>
      </c>
      <c r="G38" s="75"/>
      <c r="H38" s="68">
        <f>+H37+H36</f>
        <v>6.9219050637875076E-2</v>
      </c>
      <c r="I38" s="76"/>
    </row>
    <row r="39" spans="2:10" x14ac:dyDescent="0.35">
      <c r="H39" s="76"/>
    </row>
    <row r="41" spans="2:10" x14ac:dyDescent="0.35">
      <c r="H41" s="7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2022-07-28T07:00:00+00:00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02D5B3-5D37-481C-B630-DC7BC80C5F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BF9B3D-8DD8-4437-9685-246514F90EC5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openxmlformats.org/package/2006/metadata/core-properties"/>
    <ds:schemaRef ds:uri="6c82624b-015b-4741-a0e7-93241e8a1b4b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C4F943A-4C24-4FA4-B231-7CF2225139F2}"/>
</file>

<file path=customXml/itemProps4.xml><?xml version="1.0" encoding="utf-8"?>
<ds:datastoreItem xmlns:ds="http://schemas.openxmlformats.org/officeDocument/2006/customXml" ds:itemID="{609293D1-6026-4B69-8E4C-ED4F09C923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Cust Cost</vt:lpstr>
      <vt:lpstr>370</vt:lpstr>
      <vt:lpstr>'Cust Cost'!Print_Area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 A. Skirpan</dc:creator>
  <cp:lastModifiedBy>Jenny Dolen</cp:lastModifiedBy>
  <cp:lastPrinted>2022-07-12T15:29:53Z</cp:lastPrinted>
  <dcterms:created xsi:type="dcterms:W3CDTF">2009-08-01T16:42:45Z</dcterms:created>
  <dcterms:modified xsi:type="dcterms:W3CDTF">2022-07-12T15:31:03Z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