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CTIVE\Cases\UE\UE_UG_220066-67_PSE_2022_GRC\1_Filings\Testimony_Direct_Response\PC\01 Drafts\Watkins Exhibits\"/>
    </mc:Choice>
  </mc:AlternateContent>
  <bookViews>
    <workbookView xWindow="0" yWindow="0" windowWidth="20520" windowHeight="9975" activeTab="10"/>
  </bookViews>
  <sheets>
    <sheet name="GAW-5-1 Inc. Gross Marg Adj." sheetId="10" r:id="rId1"/>
    <sheet name="GAW-5-2 Incremental Var Costs" sheetId="11" r:id="rId2"/>
    <sheet name="GAW-5-3 Rev. Summary" sheetId="7" r:id="rId3"/>
    <sheet name="GAW-4-1 KWH Summary" sheetId="8" r:id="rId4"/>
    <sheet name="GAW-4-2 KW - KVA Summary" sheetId="9" r:id="rId5"/>
    <sheet name="GAW-5-4 Sch.7-Rev. @ Curr Rates" sheetId="4" r:id="rId6"/>
    <sheet name="GAW-5-5 Sch.29-Rev. @ Curr Rate" sheetId="5" r:id="rId7"/>
    <sheet name="GAW-5-6 Sch.46-Rev. @ Curr Rate" sheetId="6" r:id="rId8"/>
    <sheet name="GAW-4-3 PC -TAI KWH &amp; KW Adj." sheetId="3" r:id="rId9"/>
    <sheet name="GAW-4-4 PSE Forecast" sheetId="1" r:id="rId10"/>
    <sheet name="GAW-4-5 Pub. Counsel Forecast" sheetId="2" r:id="rId11"/>
  </sheets>
  <definedNames>
    <definedName name="_xlnm.Print_Area" localSheetId="3">'GAW-4-1 KWH Summary'!$A$1:$E$29</definedName>
    <definedName name="_xlnm.Print_Area" localSheetId="4">'GAW-4-2 KW - KVA Summary'!$A$1:$E$29</definedName>
    <definedName name="_xlnm.Print_Area" localSheetId="8">'GAW-4-3 PC -TAI KWH &amp; KW Adj.'!$B$1:$X$49</definedName>
    <definedName name="_xlnm.Print_Area" localSheetId="9">'GAW-4-4 PSE Forecast'!$A$1:$S$25</definedName>
    <definedName name="_xlnm.Print_Area" localSheetId="10">'GAW-4-5 Pub. Counsel Forecast'!$A$1:$U$56</definedName>
    <definedName name="_xlnm.Print_Area" localSheetId="0">'GAW-5-1 Inc. Gross Marg Adj.'!$A$1:$G$12</definedName>
    <definedName name="_xlnm.Print_Area" localSheetId="1">'GAW-5-2 Incremental Var Costs'!$A$1:$G$16</definedName>
    <definedName name="_xlnm.Print_Area" localSheetId="5">'GAW-5-4 Sch.7-Rev. @ Curr Rates'!$A$2:$R$10</definedName>
    <definedName name="_xlnm.Print_Area" localSheetId="6">'GAW-5-5 Sch.29-Rev. @ Curr Rate'!$A$2:$T$10</definedName>
    <definedName name="_xlnm.Print_Area" localSheetId="7">'GAW-5-6 Sch.46-Rev. @ Curr Rate'!$A$2:$S$10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1" l="1"/>
  <c r="G13" i="11" s="1"/>
  <c r="G9" i="10" s="1"/>
  <c r="G11" i="10" s="1"/>
  <c r="E9" i="11"/>
  <c r="E13" i="11" s="1"/>
  <c r="E9" i="10" s="1"/>
  <c r="E11" i="10" s="1"/>
  <c r="D9" i="11"/>
  <c r="D13" i="11" s="1"/>
  <c r="D9" i="10" s="1"/>
  <c r="D11" i="10" s="1"/>
  <c r="G8" i="11"/>
  <c r="F8" i="11"/>
  <c r="F9" i="11" s="1"/>
  <c r="F13" i="11" s="1"/>
  <c r="F9" i="10" s="1"/>
  <c r="F11" i="10" s="1"/>
  <c r="D8" i="11"/>
  <c r="D7" i="11"/>
  <c r="C29" i="7" l="1"/>
  <c r="C28" i="7"/>
  <c r="C27" i="7"/>
  <c r="C26" i="7"/>
  <c r="C23" i="9"/>
  <c r="C22" i="9"/>
  <c r="C21" i="9"/>
  <c r="C20" i="9"/>
  <c r="C17" i="9"/>
  <c r="C16" i="9"/>
  <c r="C15" i="9"/>
  <c r="C14" i="9"/>
  <c r="C23" i="7"/>
  <c r="C22" i="7"/>
  <c r="C21" i="7"/>
  <c r="C20" i="7"/>
  <c r="C17" i="7"/>
  <c r="C16" i="7"/>
  <c r="C15" i="7"/>
  <c r="C14" i="7"/>
  <c r="C11" i="7"/>
  <c r="C10" i="7"/>
  <c r="C9" i="7"/>
  <c r="C8" i="7"/>
  <c r="C10" i="5"/>
  <c r="W27" i="3"/>
  <c r="X27" i="3" s="1"/>
  <c r="O27" i="3"/>
  <c r="P27" i="3" s="1"/>
  <c r="P42" i="3"/>
  <c r="O45" i="3"/>
  <c r="O47" i="3" s="1"/>
  <c r="D23" i="9" s="1"/>
  <c r="O44" i="3"/>
  <c r="P44" i="3" s="1"/>
  <c r="O42" i="3"/>
  <c r="P45" i="3" l="1"/>
  <c r="D20" i="9"/>
  <c r="D21" i="9"/>
  <c r="P47" i="3"/>
  <c r="E21" i="9"/>
  <c r="O46" i="3"/>
  <c r="E20" i="9"/>
  <c r="E23" i="9"/>
  <c r="D22" i="9" l="1"/>
  <c r="E22" i="9" s="1"/>
  <c r="P46" i="3"/>
  <c r="F47" i="3"/>
  <c r="C23" i="8" s="1"/>
  <c r="F46" i="3"/>
  <c r="C22" i="8" s="1"/>
  <c r="F45" i="3"/>
  <c r="C21" i="8" s="1"/>
  <c r="F44" i="3"/>
  <c r="C20" i="8" s="1"/>
  <c r="C47" i="3"/>
  <c r="C46" i="3"/>
  <c r="C45" i="3"/>
  <c r="C44" i="3"/>
  <c r="F32" i="3"/>
  <c r="C17" i="8" s="1"/>
  <c r="F31" i="3"/>
  <c r="C16" i="8" s="1"/>
  <c r="F30" i="3"/>
  <c r="C15" i="8" s="1"/>
  <c r="F29" i="3"/>
  <c r="C14" i="8" s="1"/>
  <c r="C32" i="3"/>
  <c r="C31" i="3"/>
  <c r="C30" i="3"/>
  <c r="C29" i="3"/>
  <c r="C25" i="4"/>
  <c r="C24" i="4"/>
  <c r="C23" i="4"/>
  <c r="C22" i="4"/>
  <c r="C21" i="4"/>
  <c r="C19" i="4"/>
  <c r="C17" i="4"/>
  <c r="C16" i="4"/>
  <c r="C15" i="4"/>
  <c r="C14" i="4"/>
  <c r="C13" i="4"/>
  <c r="C12" i="4"/>
  <c r="C10" i="4"/>
  <c r="R24" i="4"/>
  <c r="N24" i="4"/>
  <c r="R20" i="4"/>
  <c r="N20" i="4"/>
  <c r="J20" i="4"/>
  <c r="F20" i="4"/>
  <c r="R18" i="4"/>
  <c r="N18" i="4"/>
  <c r="J18" i="4"/>
  <c r="F18" i="4"/>
  <c r="F17" i="3" l="1"/>
  <c r="C11" i="8" s="1"/>
  <c r="F16" i="3"/>
  <c r="C10" i="8" s="1"/>
  <c r="F15" i="3"/>
  <c r="C9" i="8" s="1"/>
  <c r="F14" i="3"/>
  <c r="C8" i="8" s="1"/>
  <c r="AB21" i="2"/>
  <c r="AB20" i="2"/>
  <c r="AB19" i="2"/>
  <c r="AB18" i="2"/>
  <c r="I51" i="2"/>
  <c r="AB16" i="2"/>
  <c r="AB15" i="2"/>
  <c r="AB14" i="2"/>
  <c r="I50" i="2"/>
  <c r="AB12" i="2"/>
  <c r="AB11" i="2"/>
  <c r="AB10" i="2"/>
  <c r="I49" i="2"/>
  <c r="X20" i="2"/>
  <c r="Y21" i="2"/>
  <c r="Y20" i="2"/>
  <c r="Y19" i="2"/>
  <c r="Y18" i="2"/>
  <c r="G51" i="2"/>
  <c r="Y16" i="2"/>
  <c r="Y15" i="2"/>
  <c r="Y14" i="2"/>
  <c r="G50" i="2"/>
  <c r="Y12" i="2"/>
  <c r="Y11" i="2"/>
  <c r="Y10" i="2"/>
  <c r="G49" i="2"/>
  <c r="R20" i="2"/>
  <c r="S21" i="2"/>
  <c r="S20" i="2"/>
  <c r="S19" i="2"/>
  <c r="S18" i="2"/>
  <c r="H37" i="2"/>
  <c r="H36" i="2"/>
  <c r="H35" i="2"/>
  <c r="E35" i="2"/>
  <c r="D49" i="2" s="1"/>
  <c r="C17" i="3"/>
  <c r="C16" i="3"/>
  <c r="C15" i="3"/>
  <c r="C14" i="3"/>
  <c r="AE16" i="1"/>
  <c r="AD16" i="1"/>
  <c r="AC16" i="1"/>
  <c r="AB16" i="1"/>
  <c r="AE15" i="1"/>
  <c r="AD15" i="1"/>
  <c r="AC15" i="1"/>
  <c r="AB15" i="1"/>
  <c r="Y16" i="1"/>
  <c r="X16" i="1"/>
  <c r="W16" i="1"/>
  <c r="V16" i="1"/>
  <c r="Y15" i="1"/>
  <c r="X15" i="1"/>
  <c r="W15" i="1"/>
  <c r="V15" i="1"/>
  <c r="S16" i="1"/>
  <c r="R16" i="1"/>
  <c r="Q16" i="1"/>
  <c r="P16" i="1"/>
  <c r="O16" i="1"/>
  <c r="S15" i="1"/>
  <c r="R15" i="1"/>
  <c r="Q15" i="1"/>
  <c r="P15" i="1"/>
  <c r="O15" i="1"/>
  <c r="L16" i="1"/>
  <c r="M16" i="1" s="1"/>
  <c r="K16" i="1"/>
  <c r="K15" i="1"/>
  <c r="L15" i="1" s="1"/>
  <c r="M15" i="1" s="1"/>
  <c r="J16" i="1"/>
  <c r="J15" i="1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E21" i="2"/>
  <c r="E20" i="2"/>
  <c r="E19" i="2"/>
  <c r="E18" i="2"/>
  <c r="E17" i="2"/>
  <c r="F42" i="3" s="1"/>
  <c r="G42" i="3" s="1"/>
  <c r="E16" i="2"/>
  <c r="E15" i="2"/>
  <c r="E14" i="2"/>
  <c r="E13" i="2"/>
  <c r="F27" i="3" s="1"/>
  <c r="G27" i="3" s="1"/>
  <c r="E12" i="2"/>
  <c r="E11" i="2"/>
  <c r="E10" i="2"/>
  <c r="E9" i="2"/>
  <c r="F12" i="3" s="1"/>
  <c r="G12" i="3" s="1"/>
  <c r="D12" i="4" l="1"/>
  <c r="D24" i="4"/>
  <c r="D21" i="4"/>
  <c r="D19" i="4"/>
  <c r="D17" i="4"/>
  <c r="D14" i="4"/>
  <c r="D25" i="4"/>
  <c r="D15" i="4"/>
  <c r="D16" i="4"/>
  <c r="D13" i="4"/>
  <c r="D23" i="4"/>
  <c r="D22" i="4"/>
  <c r="H25" i="4"/>
  <c r="H21" i="4"/>
  <c r="H15" i="4"/>
  <c r="H13" i="4"/>
  <c r="H23" i="4"/>
  <c r="H16" i="4"/>
  <c r="H22" i="4"/>
  <c r="H14" i="4"/>
  <c r="H24" i="4"/>
  <c r="H12" i="4"/>
  <c r="H19" i="4"/>
  <c r="H17" i="4"/>
  <c r="T20" i="2"/>
  <c r="L23" i="4"/>
  <c r="L16" i="4"/>
  <c r="L22" i="4"/>
  <c r="L15" i="4"/>
  <c r="L19" i="4"/>
  <c r="L17" i="4"/>
  <c r="L14" i="4"/>
  <c r="L25" i="4"/>
  <c r="P19" i="4"/>
  <c r="P17" i="4"/>
  <c r="P25" i="4"/>
  <c r="P14" i="4"/>
  <c r="P23" i="4"/>
  <c r="P16" i="4"/>
  <c r="P22" i="4"/>
  <c r="P15" i="4"/>
  <c r="Z20" i="2"/>
  <c r="AC20" i="2" s="1"/>
  <c r="E22" i="2"/>
  <c r="M10" i="2"/>
  <c r="M18" i="2"/>
  <c r="M15" i="2"/>
  <c r="M11" i="2"/>
  <c r="M19" i="2"/>
  <c r="M12" i="2"/>
  <c r="M20" i="2"/>
  <c r="M13" i="2"/>
  <c r="M14" i="2"/>
  <c r="M21" i="2"/>
  <c r="M16" i="2"/>
  <c r="M17" i="2"/>
  <c r="M9" i="2"/>
  <c r="C12" i="3" s="1"/>
  <c r="K21" i="2"/>
  <c r="K19" i="2"/>
  <c r="K18" i="2"/>
  <c r="K17" i="2"/>
  <c r="K16" i="2"/>
  <c r="K15" i="2"/>
  <c r="K14" i="2"/>
  <c r="K13" i="2"/>
  <c r="K11" i="2"/>
  <c r="K10" i="2"/>
  <c r="K9" i="2"/>
  <c r="G12" i="2"/>
  <c r="C12" i="2"/>
  <c r="L21" i="2"/>
  <c r="L20" i="2"/>
  <c r="L19" i="2"/>
  <c r="L18" i="2"/>
  <c r="L17" i="2"/>
  <c r="L16" i="2"/>
  <c r="L15" i="2"/>
  <c r="L14" i="2"/>
  <c r="L13" i="2"/>
  <c r="L11" i="2"/>
  <c r="L10" i="2"/>
  <c r="L9" i="2"/>
  <c r="G20" i="1"/>
  <c r="F20" i="1"/>
  <c r="E20" i="1"/>
  <c r="D20" i="1"/>
  <c r="C20" i="1"/>
  <c r="D37" i="2" l="1"/>
  <c r="C42" i="3"/>
  <c r="D42" i="3" s="1"/>
  <c r="D36" i="2"/>
  <c r="C27" i="3"/>
  <c r="D27" i="3" s="1"/>
  <c r="H27" i="4"/>
  <c r="D27" i="4"/>
  <c r="D12" i="3"/>
  <c r="O18" i="2"/>
  <c r="P18" i="2" s="1"/>
  <c r="O19" i="2"/>
  <c r="P19" i="2" s="1"/>
  <c r="O21" i="2"/>
  <c r="P21" i="2" s="1"/>
  <c r="C35" i="2"/>
  <c r="D35" i="2" s="1"/>
  <c r="K12" i="2"/>
  <c r="C22" i="2"/>
  <c r="D12" i="2"/>
  <c r="H12" i="2"/>
  <c r="V21" i="2" l="1"/>
  <c r="X21" i="2" s="1"/>
  <c r="Z21" i="2" s="1"/>
  <c r="AC21" i="2" s="1"/>
  <c r="R21" i="2"/>
  <c r="T21" i="2" s="1"/>
  <c r="C50" i="2"/>
  <c r="E50" i="2" s="1"/>
  <c r="G36" i="2"/>
  <c r="C51" i="2"/>
  <c r="E51" i="2" s="1"/>
  <c r="G37" i="2"/>
  <c r="V16" i="2"/>
  <c r="X16" i="2" s="1"/>
  <c r="Z16" i="2" s="1"/>
  <c r="AC16" i="2" s="1"/>
  <c r="V19" i="2"/>
  <c r="X19" i="2" s="1"/>
  <c r="Z19" i="2" s="1"/>
  <c r="AC19" i="2" s="1"/>
  <c r="R19" i="2"/>
  <c r="T19" i="2" s="1"/>
  <c r="V15" i="2"/>
  <c r="X15" i="2" s="1"/>
  <c r="Z15" i="2" s="1"/>
  <c r="AC15" i="2" s="1"/>
  <c r="V10" i="2"/>
  <c r="X10" i="2" s="1"/>
  <c r="Z10" i="2" s="1"/>
  <c r="AC10" i="2" s="1"/>
  <c r="V11" i="2"/>
  <c r="X11" i="2" s="1"/>
  <c r="Z11" i="2" s="1"/>
  <c r="AC11" i="2" s="1"/>
  <c r="V18" i="2"/>
  <c r="X18" i="2" s="1"/>
  <c r="Z18" i="2" s="1"/>
  <c r="AC18" i="2" s="1"/>
  <c r="R18" i="2"/>
  <c r="T18" i="2" s="1"/>
  <c r="V14" i="2"/>
  <c r="X14" i="2" s="1"/>
  <c r="Z14" i="2" s="1"/>
  <c r="AC14" i="2" s="1"/>
  <c r="G35" i="2"/>
  <c r="I35" i="2" s="1"/>
  <c r="G14" i="3" s="1"/>
  <c r="D8" i="8" s="1"/>
  <c r="E8" i="8" s="1"/>
  <c r="C49" i="2"/>
  <c r="L12" i="2"/>
  <c r="D22" i="2"/>
  <c r="I37" i="2" l="1"/>
  <c r="G44" i="3" s="1"/>
  <c r="D44" i="3"/>
  <c r="I36" i="2"/>
  <c r="G29" i="3" s="1"/>
  <c r="D29" i="3"/>
  <c r="H50" i="2"/>
  <c r="D30" i="3"/>
  <c r="D31" i="3" s="1"/>
  <c r="H51" i="2"/>
  <c r="D45" i="3"/>
  <c r="D46" i="3" s="1"/>
  <c r="E10" i="4"/>
  <c r="D8" i="7" s="1"/>
  <c r="E24" i="4"/>
  <c r="F24" i="4" s="1"/>
  <c r="E21" i="4"/>
  <c r="F21" i="4" s="1"/>
  <c r="E19" i="4"/>
  <c r="F19" i="4" s="1"/>
  <c r="E17" i="4"/>
  <c r="F17" i="4" s="1"/>
  <c r="E14" i="4"/>
  <c r="F14" i="4" s="1"/>
  <c r="E25" i="4"/>
  <c r="F25" i="4" s="1"/>
  <c r="E16" i="4"/>
  <c r="F16" i="4" s="1"/>
  <c r="E13" i="4"/>
  <c r="F13" i="4" s="1"/>
  <c r="E15" i="4"/>
  <c r="F15" i="4" s="1"/>
  <c r="E23" i="4"/>
  <c r="F23" i="4" s="1"/>
  <c r="E22" i="4"/>
  <c r="F22" i="4" s="1"/>
  <c r="E12" i="4"/>
  <c r="F12" i="4" s="1"/>
  <c r="H14" i="3"/>
  <c r="E49" i="2"/>
  <c r="D14" i="3"/>
  <c r="AE18" i="1"/>
  <c r="AD18" i="1"/>
  <c r="AC18" i="1"/>
  <c r="AB18" i="1"/>
  <c r="AE17" i="1"/>
  <c r="AD17" i="1"/>
  <c r="AC17" i="1"/>
  <c r="AB17" i="1"/>
  <c r="AE14" i="1"/>
  <c r="AD14" i="1"/>
  <c r="AC14" i="1"/>
  <c r="AB14" i="1"/>
  <c r="AE13" i="1"/>
  <c r="AD13" i="1"/>
  <c r="AC13" i="1"/>
  <c r="AB13" i="1"/>
  <c r="AE12" i="1"/>
  <c r="AD12" i="1"/>
  <c r="AC12" i="1"/>
  <c r="AB12" i="1"/>
  <c r="AE11" i="1"/>
  <c r="AD11" i="1"/>
  <c r="AC11" i="1"/>
  <c r="AB11" i="1"/>
  <c r="AE10" i="1"/>
  <c r="AD10" i="1"/>
  <c r="AC10" i="1"/>
  <c r="AE9" i="1"/>
  <c r="AD9" i="1"/>
  <c r="AC9" i="1"/>
  <c r="AB9" i="1"/>
  <c r="AE8" i="1"/>
  <c r="AD8" i="1"/>
  <c r="AC8" i="1"/>
  <c r="AB8" i="1"/>
  <c r="AE7" i="1"/>
  <c r="AD7" i="1"/>
  <c r="AC7" i="1"/>
  <c r="AB7" i="1"/>
  <c r="S18" i="1"/>
  <c r="R18" i="1"/>
  <c r="Q18" i="1"/>
  <c r="P18" i="1"/>
  <c r="O18" i="1"/>
  <c r="S17" i="1"/>
  <c r="R17" i="1"/>
  <c r="Q17" i="1"/>
  <c r="P17" i="1"/>
  <c r="O17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P11" i="1"/>
  <c r="O11" i="1"/>
  <c r="S10" i="1"/>
  <c r="R10" i="1"/>
  <c r="Q10" i="1"/>
  <c r="P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K51" i="2" l="1"/>
  <c r="G45" i="3"/>
  <c r="D32" i="3"/>
  <c r="G32" i="3" s="1"/>
  <c r="G31" i="3"/>
  <c r="K50" i="2"/>
  <c r="G30" i="3"/>
  <c r="D14" i="8"/>
  <c r="E14" i="8" s="1"/>
  <c r="O29" i="3"/>
  <c r="H29" i="3"/>
  <c r="W29" i="3"/>
  <c r="X29" i="3" s="1"/>
  <c r="G46" i="3"/>
  <c r="D47" i="3"/>
  <c r="G47" i="3" s="1"/>
  <c r="F10" i="6"/>
  <c r="H44" i="3"/>
  <c r="D20" i="8"/>
  <c r="E20" i="8" s="1"/>
  <c r="E8" i="7"/>
  <c r="H49" i="2"/>
  <c r="D15" i="3"/>
  <c r="D16" i="3" s="1"/>
  <c r="F10" i="4"/>
  <c r="E27" i="4"/>
  <c r="F27" i="4" s="1"/>
  <c r="V12" i="2"/>
  <c r="X12" i="2" s="1"/>
  <c r="Z12" i="2" s="1"/>
  <c r="AC12" i="2" s="1"/>
  <c r="Y9" i="1"/>
  <c r="V13" i="1"/>
  <c r="W18" i="1"/>
  <c r="V17" i="1"/>
  <c r="X17" i="1"/>
  <c r="V8" i="1"/>
  <c r="X11" i="1"/>
  <c r="Y14" i="1"/>
  <c r="X12" i="1"/>
  <c r="V14" i="1"/>
  <c r="Y17" i="1"/>
  <c r="W10" i="1"/>
  <c r="X13" i="1"/>
  <c r="Y18" i="1"/>
  <c r="V7" i="1"/>
  <c r="X7" i="1"/>
  <c r="V9" i="1"/>
  <c r="X8" i="1"/>
  <c r="V11" i="1"/>
  <c r="Y7" i="1"/>
  <c r="Y12" i="1"/>
  <c r="W14" i="1"/>
  <c r="W11" i="1"/>
  <c r="X14" i="1"/>
  <c r="V18" i="1"/>
  <c r="W8" i="1"/>
  <c r="Y11" i="1"/>
  <c r="W13" i="1"/>
  <c r="X18" i="1"/>
  <c r="Y8" i="1"/>
  <c r="X10" i="1"/>
  <c r="V12" i="1"/>
  <c r="Y13" i="1"/>
  <c r="Y10" i="1"/>
  <c r="W12" i="1"/>
  <c r="X9" i="1"/>
  <c r="W7" i="1"/>
  <c r="W9" i="1"/>
  <c r="W17" i="1"/>
  <c r="E26" i="8" l="1"/>
  <c r="D14" i="9"/>
  <c r="E14" i="9" s="1"/>
  <c r="E26" i="9" s="1"/>
  <c r="P29" i="3"/>
  <c r="J10" i="6"/>
  <c r="D20" i="7"/>
  <c r="E20" i="7" s="1"/>
  <c r="G10" i="6"/>
  <c r="H30" i="3"/>
  <c r="D15" i="8"/>
  <c r="E15" i="8" s="1"/>
  <c r="O30" i="3"/>
  <c r="D16" i="8"/>
  <c r="E16" i="8" s="1"/>
  <c r="H31" i="3"/>
  <c r="D22" i="8"/>
  <c r="E22" i="8" s="1"/>
  <c r="H46" i="3"/>
  <c r="G10" i="5"/>
  <c r="D17" i="8"/>
  <c r="E17" i="8" s="1"/>
  <c r="H32" i="3"/>
  <c r="H47" i="3"/>
  <c r="D23" i="8"/>
  <c r="E23" i="8" s="1"/>
  <c r="D21" i="8"/>
  <c r="E21" i="8" s="1"/>
  <c r="H45" i="3"/>
  <c r="D17" i="3"/>
  <c r="G17" i="3" s="1"/>
  <c r="D11" i="8" s="1"/>
  <c r="E11" i="8" s="1"/>
  <c r="G16" i="3"/>
  <c r="D10" i="8" s="1"/>
  <c r="E10" i="8" s="1"/>
  <c r="K49" i="2"/>
  <c r="G15" i="3"/>
  <c r="D9" i="8" s="1"/>
  <c r="E9" i="8" s="1"/>
  <c r="I10" i="1"/>
  <c r="E28" i="8" l="1"/>
  <c r="P30" i="3"/>
  <c r="W30" i="3"/>
  <c r="K10" i="5" s="1"/>
  <c r="D14" i="7"/>
  <c r="H10" i="5"/>
  <c r="E27" i="8"/>
  <c r="O31" i="3"/>
  <c r="N10" i="6"/>
  <c r="D21" i="7"/>
  <c r="E21" i="7" s="1"/>
  <c r="K10" i="6"/>
  <c r="E29" i="8"/>
  <c r="I21" i="4"/>
  <c r="J21" i="4" s="1"/>
  <c r="I15" i="4"/>
  <c r="J15" i="4" s="1"/>
  <c r="I23" i="4"/>
  <c r="J23" i="4" s="1"/>
  <c r="I16" i="4"/>
  <c r="J16" i="4" s="1"/>
  <c r="I13" i="4"/>
  <c r="J13" i="4" s="1"/>
  <c r="I22" i="4"/>
  <c r="J22" i="4" s="1"/>
  <c r="I25" i="4"/>
  <c r="J25" i="4" s="1"/>
  <c r="I24" i="4"/>
  <c r="J24" i="4" s="1"/>
  <c r="I12" i="4"/>
  <c r="J12" i="4" s="1"/>
  <c r="I19" i="4"/>
  <c r="J19" i="4" s="1"/>
  <c r="I17" i="4"/>
  <c r="J17" i="4" s="1"/>
  <c r="I14" i="4"/>
  <c r="J14" i="4" s="1"/>
  <c r="I10" i="4"/>
  <c r="D9" i="7" s="1"/>
  <c r="H15" i="3"/>
  <c r="M22" i="4"/>
  <c r="N22" i="4" s="1"/>
  <c r="M15" i="4"/>
  <c r="N15" i="4" s="1"/>
  <c r="M19" i="4"/>
  <c r="N19" i="4" s="1"/>
  <c r="M17" i="4"/>
  <c r="N17" i="4" s="1"/>
  <c r="M25" i="4"/>
  <c r="N25" i="4" s="1"/>
  <c r="M10" i="4"/>
  <c r="M23" i="4"/>
  <c r="N23" i="4" s="1"/>
  <c r="M16" i="4"/>
  <c r="N16" i="4" s="1"/>
  <c r="M14" i="4"/>
  <c r="N14" i="4" s="1"/>
  <c r="H16" i="3"/>
  <c r="Q19" i="4"/>
  <c r="R19" i="4" s="1"/>
  <c r="Q17" i="4"/>
  <c r="R17" i="4" s="1"/>
  <c r="Q25" i="4"/>
  <c r="R25" i="4" s="1"/>
  <c r="Q14" i="4"/>
  <c r="R14" i="4" s="1"/>
  <c r="Q10" i="4"/>
  <c r="Q23" i="4"/>
  <c r="R23" i="4" s="1"/>
  <c r="Q16" i="4"/>
  <c r="R16" i="4" s="1"/>
  <c r="Q22" i="4"/>
  <c r="R22" i="4" s="1"/>
  <c r="Q15" i="4"/>
  <c r="R15" i="4" s="1"/>
  <c r="H17" i="3"/>
  <c r="O10" i="1"/>
  <c r="V10" i="1" s="1"/>
  <c r="AB10" i="1"/>
  <c r="O10" i="6" l="1"/>
  <c r="R10" i="6"/>
  <c r="D22" i="7"/>
  <c r="E22" i="7" s="1"/>
  <c r="P31" i="3"/>
  <c r="W31" i="3"/>
  <c r="X31" i="3" s="1"/>
  <c r="O32" i="3"/>
  <c r="L10" i="5"/>
  <c r="D15" i="7"/>
  <c r="E15" i="7" s="1"/>
  <c r="E14" i="7"/>
  <c r="E26" i="7" s="1"/>
  <c r="D26" i="7"/>
  <c r="D15" i="9"/>
  <c r="E15" i="9" s="1"/>
  <c r="E27" i="9" s="1"/>
  <c r="X30" i="3"/>
  <c r="R10" i="4"/>
  <c r="D11" i="7"/>
  <c r="N10" i="4"/>
  <c r="D10" i="7"/>
  <c r="E9" i="7"/>
  <c r="I27" i="4"/>
  <c r="J27" i="4" s="1"/>
  <c r="J10" i="4"/>
  <c r="D27" i="7" l="1"/>
  <c r="E27" i="7"/>
  <c r="D16" i="9"/>
  <c r="E16" i="9" s="1"/>
  <c r="E28" i="9" s="1"/>
  <c r="O10" i="5"/>
  <c r="P10" i="5" s="1"/>
  <c r="P32" i="3"/>
  <c r="W32" i="3"/>
  <c r="X32" i="3" s="1"/>
  <c r="S10" i="6"/>
  <c r="D23" i="7"/>
  <c r="E23" i="7" s="1"/>
  <c r="E11" i="7"/>
  <c r="E10" i="7"/>
  <c r="S10" i="5" l="1"/>
  <c r="T10" i="5" s="1"/>
  <c r="D16" i="7"/>
  <c r="D17" i="9"/>
  <c r="E17" i="9" s="1"/>
  <c r="E29" i="9" s="1"/>
  <c r="D17" i="7" l="1"/>
  <c r="D29" i="7" s="1"/>
  <c r="E16" i="7"/>
  <c r="E28" i="7" s="1"/>
  <c r="D28" i="7"/>
  <c r="E17" i="7" l="1"/>
  <c r="E29" i="7" s="1"/>
</calcChain>
</file>

<file path=xl/sharedStrings.xml><?xml version="1.0" encoding="utf-8"?>
<sst xmlns="http://schemas.openxmlformats.org/spreadsheetml/2006/main" count="569" uniqueCount="157">
  <si>
    <t xml:space="preserve"> 6/21</t>
  </si>
  <si>
    <t xml:space="preserve"> 12/23</t>
  </si>
  <si>
    <t>MWH @ Meter</t>
  </si>
  <si>
    <t xml:space="preserve"> 12/24</t>
  </si>
  <si>
    <t xml:space="preserve"> 12/25</t>
  </si>
  <si>
    <t xml:space="preserve"> 12/22</t>
  </si>
  <si>
    <t>7 (7D1, 7D2)</t>
  </si>
  <si>
    <t>Residential Service</t>
  </si>
  <si>
    <t>8, 24</t>
  </si>
  <si>
    <t>Secondary Voltage General Service</t>
  </si>
  <si>
    <t>7A, 11, 25</t>
  </si>
  <si>
    <t>12, 26, 26P</t>
  </si>
  <si>
    <t>Secondary Voltage Pumping &amp; Irrigation Service</t>
  </si>
  <si>
    <t>10, 31</t>
  </si>
  <si>
    <t>Primary Voltage General Service</t>
  </si>
  <si>
    <t>Primary Voltage Pumping &amp; Irrigation Service</t>
  </si>
  <si>
    <t>Primary Voltage Interruptible Service</t>
  </si>
  <si>
    <t>High Voltage Interruptible Service</t>
  </si>
  <si>
    <t>High Voltage General Service</t>
  </si>
  <si>
    <t>3, 50-59</t>
  </si>
  <si>
    <t>Lighting Service</t>
  </si>
  <si>
    <t>449, 459</t>
  </si>
  <si>
    <t>Retail Wheeling Service</t>
  </si>
  <si>
    <t>SC</t>
  </si>
  <si>
    <t>Special Contract</t>
  </si>
  <si>
    <t>Firm Resale</t>
  </si>
  <si>
    <t>2/</t>
  </si>
  <si>
    <t>1/</t>
  </si>
  <si>
    <t>Bills</t>
  </si>
  <si>
    <t>1/ NEW-PSE-WP-BDJ-5-ELEC-RATE-SPREAD-DESIGN-22GRC-01-2022.XLSX.  TAB: Exhibit No._(BDJ-MYRP-SUM)</t>
  </si>
  <si>
    <t>Normalized</t>
  </si>
  <si>
    <t xml:space="preserve"> 12/18</t>
  </si>
  <si>
    <t>UE-190529</t>
  </si>
  <si>
    <t>TOTAL EXCLUDING LIGHTING</t>
  </si>
  <si>
    <t>UE-170033</t>
  </si>
  <si>
    <t xml:space="preserve"> 9/16</t>
  </si>
  <si>
    <t>9/16 - 12/18</t>
  </si>
  <si>
    <t xml:space="preserve"> 12/18 - 12/22</t>
  </si>
  <si>
    <t>48 Mos.</t>
  </si>
  <si>
    <t>4 Yrs</t>
  </si>
  <si>
    <t>Annual</t>
  </si>
  <si>
    <t>Growth Rate</t>
  </si>
  <si>
    <t>TAI</t>
  </si>
  <si>
    <t>12 Mos.</t>
  </si>
  <si>
    <t>1 Yr</t>
  </si>
  <si>
    <t xml:space="preserve"> @ 12/23</t>
  </si>
  <si>
    <t>Total</t>
  </si>
  <si>
    <t>Forecast @</t>
  </si>
  <si>
    <t>PSE</t>
  </si>
  <si>
    <t>Adjustment</t>
  </si>
  <si>
    <t>Current</t>
  </si>
  <si>
    <t>Energy</t>
  </si>
  <si>
    <t>27 Mos.</t>
  </si>
  <si>
    <t>2.25 Yrs.</t>
  </si>
  <si>
    <t>KWH Annual Use Per Customer</t>
  </si>
  <si>
    <t>Annual KWH Use Per Customer</t>
  </si>
  <si>
    <t>12 mths</t>
  </si>
  <si>
    <t>Ending</t>
  </si>
  <si>
    <t>Forecast</t>
  </si>
  <si>
    <t>Actual Normalized KWH</t>
  </si>
  <si>
    <t>Before EV</t>
  </si>
  <si>
    <t>Per Customer</t>
  </si>
  <si>
    <t xml:space="preserve"> @ 12/22</t>
  </si>
  <si>
    <t>KWH Use Per Cust.</t>
  </si>
  <si>
    <t>EV KWH Growth</t>
  </si>
  <si>
    <t>Total KWH</t>
  </si>
  <si>
    <t xml:space="preserve">KWH Sales </t>
  </si>
  <si>
    <t>KWH Use</t>
  </si>
  <si>
    <t>Per Cust.</t>
  </si>
  <si>
    <t>No. of</t>
  </si>
  <si>
    <t>Customers</t>
  </si>
  <si>
    <t>Annual KWH Per Customer</t>
  </si>
  <si>
    <t>Actual/Normalized</t>
  </si>
  <si>
    <t xml:space="preserve">Total Annual KWH Sales </t>
  </si>
  <si>
    <t>PC</t>
  </si>
  <si>
    <t>Base Rates</t>
  </si>
  <si>
    <t>Schedule 95
PCORC</t>
  </si>
  <si>
    <t>Schedule 95
PCA Imbalance</t>
  </si>
  <si>
    <t>Schedule 95A
Federal Incentive Credit</t>
  </si>
  <si>
    <t>Schedule 120
Conservation</t>
  </si>
  <si>
    <t>Schedule 129
Low Income</t>
  </si>
  <si>
    <t>Schedule 137
REC</t>
  </si>
  <si>
    <t>Schedule 139
Green Direct</t>
  </si>
  <si>
    <t>Schedule 140
Property Tax</t>
  </si>
  <si>
    <t>Schedule 141
ERF</t>
  </si>
  <si>
    <t>Schedule 141x
Tax</t>
  </si>
  <si>
    <t>Schedule 141z
Tax</t>
  </si>
  <si>
    <t xml:space="preserve">Schedule 142
Deferral </t>
  </si>
  <si>
    <t>Schedule
142
Supplemental</t>
  </si>
  <si>
    <t>Schedule
194
BPA Res Exch</t>
  </si>
  <si>
    <t>Based On Current Rates</t>
  </si>
  <si>
    <t>?</t>
  </si>
  <si>
    <t>Rate</t>
  </si>
  <si>
    <t>Residential Rate Schedule 7</t>
  </si>
  <si>
    <t>Comparison of PSE &amp; Public Counsel Revenues @ Current Rates</t>
  </si>
  <si>
    <t>TOTAL</t>
  </si>
  <si>
    <t>% Change Use Per Customer</t>
  </si>
  <si>
    <t>To</t>
  </si>
  <si>
    <t>% Change No. of Bills</t>
  </si>
  <si>
    <t>Secondary Pumping &amp; Irrigation Rate Schedule 29</t>
  </si>
  <si>
    <t>High Voltage Interruptible Rate Schedule 46</t>
  </si>
  <si>
    <t>ENERGY (KWH)</t>
  </si>
  <si>
    <t>Annual KVA Per Customer</t>
  </si>
  <si>
    <t>Total Annual KVA</t>
  </si>
  <si>
    <t xml:space="preserve">Total Winter KW </t>
  </si>
  <si>
    <t>Winter KW Per Customer</t>
  </si>
  <si>
    <t>Summer KW Per Customer</t>
  </si>
  <si>
    <t xml:space="preserve">Total Summer KW </t>
  </si>
  <si>
    <t>Current Rate</t>
  </si>
  <si>
    <t>Demand</t>
  </si>
  <si>
    <t>Winter</t>
  </si>
  <si>
    <t>Summer</t>
  </si>
  <si>
    <t>NOT COMPLETED</t>
  </si>
  <si>
    <t>Public</t>
  </si>
  <si>
    <t>Counsel</t>
  </si>
  <si>
    <t>Residential (Rate 7)</t>
  </si>
  <si>
    <t>Sec. Pumping/Irrig. (Rate 29)</t>
  </si>
  <si>
    <t>HV Interruptible (Rate 46)</t>
  </si>
  <si>
    <t>TOTAL TO ADJUST</t>
  </si>
  <si>
    <t>KWH @ Meter</t>
  </si>
  <si>
    <t>N/A</t>
  </si>
  <si>
    <t>Billed KW/KVA @ Meter</t>
  </si>
  <si>
    <t>Public Counsel Forecast 12 Mos. Ending Dec. 2022</t>
  </si>
  <si>
    <t>Public Counsel Forecast 12 Mos. Ending Dec. 2023</t>
  </si>
  <si>
    <t>2/ NEW-PSE-WP-BDJ-5-ELEC-RATE-SPREAD-DESIGN-22GRC-01-2022.XLSX.  TABs: Specific rate schedule design</t>
  </si>
  <si>
    <t>Public Counsel Adjustment to Current Base Rate Revenues</t>
  </si>
  <si>
    <t>1/  Per JAP-06.</t>
  </si>
  <si>
    <t>2/  Per JAP-39.</t>
  </si>
  <si>
    <t>PUGET SOUND ENERGY</t>
  </si>
  <si>
    <t>Public Counsel Forecasted KWh Adjustment</t>
  </si>
  <si>
    <t>Public Counsel Forecasted Billing KW/KVa Adjustment</t>
  </si>
  <si>
    <t>BILLING DEMAND (KW/KVA)</t>
  </si>
  <si>
    <t>Public Counsel Energy and Billing Demand Adjustment</t>
  </si>
  <si>
    <t>PSE Forecasted Energy Usage</t>
  </si>
  <si>
    <t>Rate Schedule</t>
  </si>
  <si>
    <t>Public Counsel Forecasted Energy Usage</t>
  </si>
  <si>
    <t>Gap</t>
  </si>
  <si>
    <t xml:space="preserve">Rate </t>
  </si>
  <si>
    <t>Year</t>
  </si>
  <si>
    <t>Year 1</t>
  </si>
  <si>
    <t>Year 2</t>
  </si>
  <si>
    <t>Year 3</t>
  </si>
  <si>
    <t xml:space="preserve"> 12/2022</t>
  </si>
  <si>
    <t xml:space="preserve"> 12/2023</t>
  </si>
  <si>
    <t xml:space="preserve"> 12/2024</t>
  </si>
  <si>
    <t xml:space="preserve"> 12/2025</t>
  </si>
  <si>
    <t>Public Counsel Base Rate Revenue Adjustment</t>
  </si>
  <si>
    <t>Public Counsel Incremental Variable Costs</t>
  </si>
  <si>
    <t>Public Counsel Gross Margin Adjustment</t>
  </si>
  <si>
    <t>PSE Forecasted Power Costs/MWh @ Trans.  1/</t>
  </si>
  <si>
    <t>System Loss Factor @ 7.8104%  2/</t>
  </si>
  <si>
    <t>Forecasted Power Costs/MWh @ Meter</t>
  </si>
  <si>
    <t>Public Counsel MWh Adjustment (@ Meter)</t>
  </si>
  <si>
    <t>Public Counsel Variable Cost Adjustment</t>
  </si>
  <si>
    <t>Per Exhibit No. ___ (PKW-5C).  2022 assumed to be the same as 2023.</t>
  </si>
  <si>
    <t>Calculated per Jhaveri WP-BDJ-3-ELEC-PROD-ADJ-FACTOR, Tab: GPI (F2021).  Includes station losses.</t>
  </si>
  <si>
    <t>Public Counsel Incremental Variable Cost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</si>
</sst>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.000000_);\(&quot;$&quot;#,##0.000000\)"/>
    <numFmt numFmtId="166" formatCode="&quot;$&quot;#,##0"/>
    <numFmt numFmtId="167" formatCode="&quot;$&quot;#,##0.000"/>
    <numFmt numFmtId="168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2" fillId="0" borderId="0" xfId="0" applyFont="1" applyFill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0" fontId="0" fillId="0" borderId="0" xfId="2" applyNumberFormat="1" applyFont="1"/>
    <xf numFmtId="164" fontId="0" fillId="0" borderId="0" xfId="0" applyNumberFormat="1"/>
    <xf numFmtId="0" fontId="4" fillId="0" borderId="0" xfId="0" applyFont="1"/>
    <xf numFmtId="0" fontId="4" fillId="0" borderId="1" xfId="0" applyFont="1" applyBorder="1"/>
    <xf numFmtId="164" fontId="4" fillId="0" borderId="1" xfId="1" applyNumberFormat="1" applyFont="1" applyBorder="1"/>
    <xf numFmtId="0" fontId="0" fillId="0" borderId="0" xfId="0" applyBorder="1"/>
    <xf numFmtId="164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Border="1"/>
    <xf numFmtId="164" fontId="4" fillId="0" borderId="0" xfId="1" applyNumberFormat="1" applyFont="1" applyBorder="1"/>
    <xf numFmtId="164" fontId="3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5" fontId="0" fillId="0" borderId="0" xfId="0" applyNumberFormat="1"/>
    <xf numFmtId="0" fontId="5" fillId="0" borderId="0" xfId="0" applyFont="1"/>
    <xf numFmtId="0" fontId="2" fillId="0" borderId="0" xfId="0" applyFont="1" applyBorder="1" applyAlignment="1">
      <alignment horizontal="center"/>
    </xf>
    <xf numFmtId="17" fontId="6" fillId="0" borderId="0" xfId="0" quotePrefix="1" applyNumberFormat="1" applyFont="1" applyBorder="1" applyAlignment="1">
      <alignment horizontal="left"/>
    </xf>
    <xf numFmtId="5" fontId="3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Border="1"/>
    <xf numFmtId="164" fontId="0" fillId="0" borderId="1" xfId="1" applyNumberFormat="1" applyFont="1" applyBorder="1"/>
    <xf numFmtId="0" fontId="0" fillId="0" borderId="1" xfId="0" applyBorder="1"/>
    <xf numFmtId="0" fontId="5" fillId="0" borderId="0" xfId="0" applyFont="1" applyBorder="1"/>
    <xf numFmtId="16" fontId="0" fillId="0" borderId="0" xfId="0" applyNumberFormat="1" applyBorder="1"/>
    <xf numFmtId="7" fontId="0" fillId="0" borderId="0" xfId="0" applyNumberFormat="1"/>
    <xf numFmtId="165" fontId="9" fillId="0" borderId="0" xfId="0" applyNumberFormat="1" applyFont="1"/>
    <xf numFmtId="164" fontId="0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/>
    <xf numFmtId="5" fontId="12" fillId="0" borderId="0" xfId="0" applyNumberFormat="1" applyFont="1"/>
    <xf numFmtId="0" fontId="12" fillId="0" borderId="1" xfId="0" applyFont="1" applyBorder="1"/>
    <xf numFmtId="0" fontId="13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10" fontId="0" fillId="0" borderId="0" xfId="2" applyNumberFormat="1" applyFont="1" applyFill="1"/>
    <xf numFmtId="0" fontId="0" fillId="0" borderId="0" xfId="0" applyFill="1" applyAlignment="1">
      <alignment horizontal="left"/>
    </xf>
    <xf numFmtId="164" fontId="0" fillId="0" borderId="0" xfId="1" applyNumberFormat="1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164" fontId="4" fillId="0" borderId="0" xfId="1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64" fontId="0" fillId="0" borderId="0" xfId="1" applyNumberFormat="1" applyFont="1" applyFill="1" applyBorder="1"/>
    <xf numFmtId="10" fontId="0" fillId="0" borderId="0" xfId="2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164" fontId="4" fillId="0" borderId="1" xfId="1" applyNumberFormat="1" applyFont="1" applyFill="1" applyBorder="1"/>
    <xf numFmtId="164" fontId="0" fillId="0" borderId="0" xfId="0" applyNumberFormat="1" applyFill="1"/>
    <xf numFmtId="49" fontId="2" fillId="0" borderId="1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left"/>
    </xf>
    <xf numFmtId="164" fontId="0" fillId="0" borderId="7" xfId="1" applyNumberFormat="1" applyFont="1" applyBorder="1"/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9" xfId="0" applyBorder="1"/>
    <xf numFmtId="0" fontId="0" fillId="0" borderId="8" xfId="0" applyBorder="1"/>
    <xf numFmtId="0" fontId="4" fillId="0" borderId="3" xfId="0" applyFont="1" applyBorder="1"/>
    <xf numFmtId="0" fontId="4" fillId="0" borderId="4" xfId="0" applyFont="1" applyBorder="1"/>
    <xf numFmtId="0" fontId="4" fillId="0" borderId="10" xfId="0" applyFont="1" applyBorder="1"/>
    <xf numFmtId="0" fontId="0" fillId="0" borderId="3" xfId="0" applyBorder="1"/>
    <xf numFmtId="0" fontId="0" fillId="0" borderId="4" xfId="0" applyBorder="1"/>
    <xf numFmtId="164" fontId="0" fillId="0" borderId="4" xfId="1" applyNumberFormat="1" applyFont="1" applyBorder="1"/>
    <xf numFmtId="0" fontId="0" fillId="0" borderId="10" xfId="0" applyBorder="1"/>
    <xf numFmtId="164" fontId="0" fillId="0" borderId="7" xfId="0" applyNumberFormat="1" applyBorder="1"/>
    <xf numFmtId="0" fontId="10" fillId="0" borderId="0" xfId="0" applyFont="1" applyBorder="1" applyAlignment="1"/>
    <xf numFmtId="0" fontId="2" fillId="0" borderId="9" xfId="0" applyFont="1" applyBorder="1" applyAlignment="1">
      <alignment horizontal="center"/>
    </xf>
    <xf numFmtId="0" fontId="5" fillId="0" borderId="6" xfId="0" applyFont="1" applyBorder="1"/>
    <xf numFmtId="16" fontId="0" fillId="0" borderId="6" xfId="0" applyNumberFormat="1" applyBorder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Fill="1" applyAlignment="1">
      <alignment horizontal="center"/>
    </xf>
    <xf numFmtId="16" fontId="2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167" fontId="12" fillId="0" borderId="0" xfId="0" applyNumberFormat="1" applyFont="1" applyAlignment="1">
      <alignment horizontal="right"/>
    </xf>
    <xf numFmtId="168" fontId="12" fillId="0" borderId="0" xfId="0" applyNumberFormat="1" applyFont="1" applyAlignment="1">
      <alignment horizontal="right"/>
    </xf>
    <xf numFmtId="168" fontId="12" fillId="0" borderId="0" xfId="2" applyNumberFormat="1" applyFont="1"/>
    <xf numFmtId="168" fontId="12" fillId="0" borderId="0" xfId="0" applyNumberFormat="1" applyFont="1"/>
    <xf numFmtId="0" fontId="15" fillId="0" borderId="0" xfId="0" applyFont="1"/>
    <xf numFmtId="164" fontId="15" fillId="0" borderId="0" xfId="1" applyNumberFormat="1" applyFont="1"/>
    <xf numFmtId="5" fontId="12" fillId="0" borderId="0" xfId="1" applyNumberFormat="1" applyFont="1"/>
    <xf numFmtId="166" fontId="12" fillId="0" borderId="0" xfId="0" applyNumberFormat="1" applyFont="1"/>
    <xf numFmtId="5" fontId="15" fillId="0" borderId="0" xfId="0" applyNumberFormat="1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workbookViewId="0">
      <selection activeCell="H27" sqref="H27"/>
    </sheetView>
  </sheetViews>
  <sheetFormatPr defaultColWidth="8.73046875" defaultRowHeight="13.9" x14ac:dyDescent="0.4"/>
  <cols>
    <col min="1" max="1" width="3.33203125" style="40" customWidth="1"/>
    <col min="2" max="2" width="36.46484375" style="40" customWidth="1"/>
    <col min="3" max="3" width="2.19921875" style="40" customWidth="1"/>
    <col min="4" max="4" width="10.73046875" style="40" bestFit="1" customWidth="1"/>
    <col min="5" max="7" width="11.33203125" style="40" bestFit="1" customWidth="1"/>
    <col min="8" max="16384" width="8.73046875" style="40"/>
  </cols>
  <sheetData>
    <row r="1" spans="1:7" x14ac:dyDescent="0.4">
      <c r="A1" s="114" t="s">
        <v>128</v>
      </c>
      <c r="B1" s="114"/>
      <c r="C1" s="114"/>
      <c r="D1" s="114"/>
      <c r="E1" s="114"/>
      <c r="F1" s="114"/>
      <c r="G1" s="114"/>
    </row>
    <row r="2" spans="1:7" x14ac:dyDescent="0.4">
      <c r="A2" s="115" t="s">
        <v>148</v>
      </c>
      <c r="B2" s="115"/>
      <c r="C2" s="115"/>
      <c r="D2" s="115"/>
      <c r="E2" s="115"/>
      <c r="F2" s="115"/>
      <c r="G2" s="115"/>
    </row>
    <row r="3" spans="1:7" x14ac:dyDescent="0.4">
      <c r="A3" s="47"/>
      <c r="B3" s="47"/>
      <c r="C3" s="47"/>
      <c r="D3" s="42" t="s">
        <v>136</v>
      </c>
      <c r="E3" s="42" t="s">
        <v>137</v>
      </c>
      <c r="F3" s="42" t="s">
        <v>137</v>
      </c>
      <c r="G3" s="42" t="s">
        <v>137</v>
      </c>
    </row>
    <row r="4" spans="1:7" x14ac:dyDescent="0.4">
      <c r="A4" s="47"/>
      <c r="B4" s="47"/>
      <c r="C4" s="47"/>
      <c r="D4" s="42" t="s">
        <v>138</v>
      </c>
      <c r="E4" s="42" t="s">
        <v>139</v>
      </c>
      <c r="F4" s="42" t="s">
        <v>140</v>
      </c>
      <c r="G4" s="42" t="s">
        <v>141</v>
      </c>
    </row>
    <row r="5" spans="1:7" x14ac:dyDescent="0.4">
      <c r="A5" s="47"/>
      <c r="B5" s="47"/>
      <c r="C5" s="47"/>
      <c r="D5" s="43" t="s">
        <v>142</v>
      </c>
      <c r="E5" s="43" t="s">
        <v>143</v>
      </c>
      <c r="F5" s="43" t="s">
        <v>144</v>
      </c>
      <c r="G5" s="43" t="s">
        <v>145</v>
      </c>
    </row>
    <row r="6" spans="1:7" x14ac:dyDescent="0.4">
      <c r="D6" s="41"/>
      <c r="E6" s="41"/>
      <c r="F6" s="41"/>
      <c r="G6" s="41"/>
    </row>
    <row r="7" spans="1:7" x14ac:dyDescent="0.4">
      <c r="A7" s="40" t="s">
        <v>146</v>
      </c>
      <c r="D7" s="112">
        <v>12917996</v>
      </c>
      <c r="E7" s="112">
        <v>24151607</v>
      </c>
      <c r="F7" s="112">
        <v>23720744</v>
      </c>
      <c r="G7" s="112">
        <v>28755634</v>
      </c>
    </row>
    <row r="9" spans="1:7" s="109" customFormat="1" x14ac:dyDescent="0.4">
      <c r="A9" s="109" t="s">
        <v>147</v>
      </c>
      <c r="D9" s="113">
        <f>'GAW-5-2 Incremental Var Costs'!D13</f>
        <v>6319368.1597143281</v>
      </c>
      <c r="E9" s="113">
        <f>'GAW-5-2 Incremental Var Costs'!E13</f>
        <v>11486915.19221257</v>
      </c>
      <c r="F9" s="113">
        <f>'GAW-5-2 Incremental Var Costs'!F13</f>
        <v>11323585.903329117</v>
      </c>
      <c r="G9" s="113">
        <f>'GAW-5-2 Incremental Var Costs'!G13</f>
        <v>12998952.53717415</v>
      </c>
    </row>
    <row r="11" spans="1:7" x14ac:dyDescent="0.4">
      <c r="A11" s="40" t="s">
        <v>148</v>
      </c>
      <c r="D11" s="112">
        <f>D7-D9</f>
        <v>6598627.8402856719</v>
      </c>
      <c r="E11" s="112">
        <f t="shared" ref="E11:G11" si="0">E7-E9</f>
        <v>12664691.80778743</v>
      </c>
      <c r="F11" s="112">
        <f t="shared" si="0"/>
        <v>12397158.096670883</v>
      </c>
      <c r="G11" s="112">
        <f t="shared" si="0"/>
        <v>15756681.46282585</v>
      </c>
    </row>
  </sheetData>
  <mergeCells count="2">
    <mergeCell ref="A1:G1"/>
    <mergeCell ref="A2:G2"/>
  </mergeCells>
  <pageMargins left="0.7" right="0.7" top="0.75" bottom="0.75" header="0.3" footer="0.3"/>
  <pageSetup fitToHeight="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opLeftCell="A13" workbookViewId="0">
      <selection sqref="A1:S2"/>
    </sheetView>
  </sheetViews>
  <sheetFormatPr defaultColWidth="8.73046875" defaultRowHeight="14.25" x14ac:dyDescent="0.45"/>
  <cols>
    <col min="1" max="1" width="11" style="49" customWidth="1"/>
    <col min="2" max="2" width="42.06640625" style="49" customWidth="1"/>
    <col min="3" max="3" width="12.19921875" style="49" customWidth="1"/>
    <col min="4" max="4" width="12.796875" style="49" customWidth="1"/>
    <col min="5" max="5" width="11.73046875" style="49" customWidth="1"/>
    <col min="6" max="6" width="11.9296875" style="49" customWidth="1"/>
    <col min="7" max="7" width="11.796875" style="49" customWidth="1"/>
    <col min="8" max="8" width="2.06640625" style="49" customWidth="1"/>
    <col min="9" max="11" width="11" style="49" bestFit="1" customWidth="1"/>
    <col min="12" max="12" width="12.33203125" style="49" customWidth="1"/>
    <col min="13" max="13" width="11" style="49" bestFit="1" customWidth="1"/>
    <col min="14" max="14" width="2" style="49" customWidth="1"/>
    <col min="15" max="15" width="12.33203125" style="49" customWidth="1"/>
    <col min="16" max="16" width="12.53125" style="49" customWidth="1"/>
    <col min="17" max="17" width="12.33203125" style="49" customWidth="1"/>
    <col min="18" max="18" width="11.59765625" style="49" customWidth="1"/>
    <col min="19" max="19" width="12.06640625" style="49" customWidth="1"/>
    <col min="20" max="20" width="2.265625" style="49" hidden="1" customWidth="1"/>
    <col min="21" max="25" width="0" style="49" hidden="1" customWidth="1"/>
    <col min="26" max="26" width="1.73046875" style="49" hidden="1" customWidth="1"/>
    <col min="27" max="33" width="0" style="49" hidden="1" customWidth="1"/>
    <col min="34" max="16384" width="8.73046875" style="49"/>
  </cols>
  <sheetData>
    <row r="1" spans="1:31" x14ac:dyDescent="0.45">
      <c r="A1" s="134" t="s">
        <v>128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31" x14ac:dyDescent="0.45">
      <c r="A2" s="135" t="s">
        <v>133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U2" s="135" t="s">
        <v>96</v>
      </c>
      <c r="V2" s="135"/>
      <c r="W2" s="135"/>
      <c r="X2" s="135"/>
      <c r="Y2" s="135"/>
    </row>
    <row r="3" spans="1:31" s="3" customFormat="1" x14ac:dyDescent="0.45">
      <c r="C3" s="135" t="s">
        <v>2</v>
      </c>
      <c r="D3" s="135"/>
      <c r="E3" s="135"/>
      <c r="F3" s="135"/>
      <c r="G3" s="135"/>
      <c r="I3" s="135" t="s">
        <v>28</v>
      </c>
      <c r="J3" s="135"/>
      <c r="K3" s="135"/>
      <c r="L3" s="135"/>
      <c r="M3" s="135"/>
      <c r="O3" s="135" t="s">
        <v>54</v>
      </c>
      <c r="P3" s="135"/>
      <c r="Q3" s="135"/>
      <c r="R3" s="135"/>
      <c r="S3" s="135"/>
      <c r="U3" s="135"/>
      <c r="V3" s="135"/>
      <c r="W3" s="135"/>
      <c r="X3" s="135"/>
      <c r="Y3" s="135"/>
      <c r="AA3" s="135" t="s">
        <v>98</v>
      </c>
      <c r="AB3" s="135"/>
      <c r="AC3" s="135"/>
      <c r="AD3" s="135"/>
      <c r="AE3" s="135"/>
    </row>
    <row r="4" spans="1:31" s="95" customFormat="1" x14ac:dyDescent="0.45">
      <c r="C4" s="96" t="s">
        <v>0</v>
      </c>
      <c r="I4" s="96"/>
      <c r="O4" s="96"/>
      <c r="V4" s="96" t="s">
        <v>0</v>
      </c>
      <c r="W4" s="95" t="s">
        <v>5</v>
      </c>
      <c r="X4" s="95" t="s">
        <v>1</v>
      </c>
      <c r="Y4" s="95" t="s">
        <v>3</v>
      </c>
      <c r="AA4" s="96"/>
      <c r="AB4" s="96" t="s">
        <v>0</v>
      </c>
      <c r="AC4" s="95" t="s">
        <v>5</v>
      </c>
      <c r="AD4" s="95" t="s">
        <v>1</v>
      </c>
      <c r="AE4" s="95" t="s">
        <v>3</v>
      </c>
    </row>
    <row r="5" spans="1:31" s="95" customFormat="1" x14ac:dyDescent="0.45">
      <c r="C5" s="95" t="s">
        <v>30</v>
      </c>
      <c r="D5" s="95" t="s">
        <v>5</v>
      </c>
      <c r="E5" s="95" t="s">
        <v>1</v>
      </c>
      <c r="F5" s="95" t="s">
        <v>3</v>
      </c>
      <c r="G5" s="95" t="s">
        <v>4</v>
      </c>
      <c r="I5" s="96" t="s">
        <v>0</v>
      </c>
      <c r="V5" s="95" t="s">
        <v>97</v>
      </c>
      <c r="W5" s="95" t="s">
        <v>97</v>
      </c>
      <c r="X5" s="95" t="s">
        <v>97</v>
      </c>
      <c r="Y5" s="95" t="s">
        <v>97</v>
      </c>
      <c r="AB5" s="95" t="s">
        <v>97</v>
      </c>
      <c r="AC5" s="95" t="s">
        <v>97</v>
      </c>
      <c r="AD5" s="95" t="s">
        <v>97</v>
      </c>
      <c r="AE5" s="95" t="s">
        <v>97</v>
      </c>
    </row>
    <row r="6" spans="1:31" s="95" customFormat="1" x14ac:dyDescent="0.45">
      <c r="A6" s="135" t="s">
        <v>134</v>
      </c>
      <c r="B6" s="135"/>
      <c r="C6" s="50" t="s">
        <v>27</v>
      </c>
      <c r="D6" s="50" t="s">
        <v>27</v>
      </c>
      <c r="E6" s="50" t="s">
        <v>27</v>
      </c>
      <c r="F6" s="50" t="s">
        <v>27</v>
      </c>
      <c r="G6" s="50" t="s">
        <v>27</v>
      </c>
      <c r="H6" s="103"/>
      <c r="I6" s="50" t="s">
        <v>26</v>
      </c>
      <c r="J6" s="50" t="s">
        <v>5</v>
      </c>
      <c r="K6" s="50" t="s">
        <v>1</v>
      </c>
      <c r="L6" s="50" t="s">
        <v>3</v>
      </c>
      <c r="M6" s="50" t="s">
        <v>4</v>
      </c>
      <c r="O6" s="104" t="s">
        <v>0</v>
      </c>
      <c r="P6" s="50" t="s">
        <v>5</v>
      </c>
      <c r="Q6" s="50" t="s">
        <v>1</v>
      </c>
      <c r="R6" s="50" t="s">
        <v>3</v>
      </c>
      <c r="S6" s="50" t="s">
        <v>4</v>
      </c>
      <c r="V6" s="95" t="s">
        <v>5</v>
      </c>
      <c r="W6" s="95" t="s">
        <v>1</v>
      </c>
      <c r="X6" s="95" t="s">
        <v>3</v>
      </c>
      <c r="Y6" s="95" t="s">
        <v>4</v>
      </c>
      <c r="AB6" s="95" t="s">
        <v>5</v>
      </c>
      <c r="AC6" s="95" t="s">
        <v>1</v>
      </c>
      <c r="AD6" s="95" t="s">
        <v>3</v>
      </c>
      <c r="AE6" s="95" t="s">
        <v>4</v>
      </c>
    </row>
    <row r="7" spans="1:31" x14ac:dyDescent="0.45">
      <c r="A7" s="52" t="s">
        <v>6</v>
      </c>
      <c r="B7" s="49" t="s">
        <v>7</v>
      </c>
      <c r="C7" s="53">
        <v>11355354.571603522</v>
      </c>
      <c r="D7" s="53">
        <v>10857353</v>
      </c>
      <c r="E7" s="53">
        <v>10846482</v>
      </c>
      <c r="F7" s="53">
        <v>10953273</v>
      </c>
      <c r="G7" s="53">
        <v>11003417</v>
      </c>
      <c r="I7" s="53">
        <v>12762461</v>
      </c>
      <c r="J7" s="53">
        <v>13018839</v>
      </c>
      <c r="K7" s="53">
        <v>13187360</v>
      </c>
      <c r="L7" s="53">
        <v>13358089</v>
      </c>
      <c r="M7" s="53">
        <v>13527153</v>
      </c>
      <c r="O7" s="53">
        <f>C7/(I7/12)*1000</f>
        <v>10676.957591427095</v>
      </c>
      <c r="P7" s="53">
        <f t="shared" ref="P7:S7" si="0">D7/(J7/12)*1000</f>
        <v>10007.669347474073</v>
      </c>
      <c r="Q7" s="53">
        <f t="shared" si="0"/>
        <v>9869.8893485883455</v>
      </c>
      <c r="R7" s="53">
        <f t="shared" si="0"/>
        <v>9839.6766184145054</v>
      </c>
      <c r="S7" s="53">
        <f t="shared" si="0"/>
        <v>9761.1821201401362</v>
      </c>
      <c r="V7" s="51">
        <f>P7/O7-1</f>
        <v>-6.2685295714803413E-2</v>
      </c>
      <c r="W7" s="51">
        <f t="shared" ref="W7:Y7" si="1">Q7/P7-1</f>
        <v>-1.3767441159564631E-2</v>
      </c>
      <c r="X7" s="51">
        <f t="shared" si="1"/>
        <v>-3.0611012045602681E-3</v>
      </c>
      <c r="Y7" s="51">
        <f t="shared" si="1"/>
        <v>-7.9773453252995896E-3</v>
      </c>
      <c r="AB7" s="51">
        <f>J7/I7-1</f>
        <v>2.0088445324142334E-2</v>
      </c>
      <c r="AC7" s="51">
        <f t="shared" ref="AC7:AE7" si="2">K7/J7-1</f>
        <v>1.2944395425736444E-2</v>
      </c>
      <c r="AD7" s="51">
        <f t="shared" si="2"/>
        <v>1.2946412322102363E-2</v>
      </c>
      <c r="AE7" s="51">
        <f t="shared" si="2"/>
        <v>1.2656301361669398E-2</v>
      </c>
    </row>
    <row r="8" spans="1:31" x14ac:dyDescent="0.45">
      <c r="A8" s="52" t="s">
        <v>8</v>
      </c>
      <c r="B8" s="49" t="s">
        <v>9</v>
      </c>
      <c r="C8" s="53">
        <v>2658833.1030243803</v>
      </c>
      <c r="D8" s="53">
        <v>2628117</v>
      </c>
      <c r="E8" s="53">
        <v>2697633</v>
      </c>
      <c r="F8" s="53">
        <v>2730372</v>
      </c>
      <c r="G8" s="53">
        <v>2726800</v>
      </c>
      <c r="I8" s="53">
        <v>1596239</v>
      </c>
      <c r="J8" s="53">
        <v>1627324</v>
      </c>
      <c r="K8" s="53">
        <v>1648258</v>
      </c>
      <c r="L8" s="53">
        <v>1668606</v>
      </c>
      <c r="M8" s="53">
        <v>1687811</v>
      </c>
      <c r="O8" s="53">
        <f t="shared" ref="O8:O14" si="3">C8/(I8/12)*1000</f>
        <v>19988.233113144437</v>
      </c>
      <c r="P8" s="53">
        <f t="shared" ref="P8:P14" si="4">D8/(J8/12)*1000</f>
        <v>19379.91696797933</v>
      </c>
      <c r="Q8" s="53">
        <f t="shared" ref="Q8:Q14" si="5">E8/(K8/12)*1000</f>
        <v>19639.884047279003</v>
      </c>
      <c r="R8" s="53">
        <f t="shared" ref="R8:R14" si="6">F8/(L8/12)*1000</f>
        <v>19635.830148039742</v>
      </c>
      <c r="S8" s="53">
        <f t="shared" ref="S8:S14" si="7">G8/(M8/12)*1000</f>
        <v>19387.004824592328</v>
      </c>
      <c r="V8" s="51">
        <f t="shared" ref="V8:V14" si="8">P8/O8-1</f>
        <v>-3.0433712760988052E-2</v>
      </c>
      <c r="W8" s="51">
        <f t="shared" ref="W8:W14" si="9">Q8/P8-1</f>
        <v>1.3414251450571513E-2</v>
      </c>
      <c r="X8" s="51">
        <f t="shared" ref="X8:X14" si="10">R8/Q8-1</f>
        <v>-2.0641156686573847E-4</v>
      </c>
      <c r="Y8" s="51">
        <f t="shared" ref="Y8:Y14" si="11">S8/R8-1</f>
        <v>-1.2672004268291848E-2</v>
      </c>
      <c r="AB8" s="51">
        <f t="shared" ref="AB8:AB14" si="12">J8/I8-1</f>
        <v>1.9473900838157698E-2</v>
      </c>
      <c r="AC8" s="51">
        <f t="shared" ref="AC8:AC14" si="13">K8/J8-1</f>
        <v>1.2864063947929161E-2</v>
      </c>
      <c r="AD8" s="51">
        <f t="shared" ref="AD8:AD14" si="14">L8/K8-1</f>
        <v>1.2345154702722461E-2</v>
      </c>
      <c r="AE8" s="51">
        <f t="shared" ref="AE8:AE14" si="15">M8/L8-1</f>
        <v>1.1509607420805201E-2</v>
      </c>
    </row>
    <row r="9" spans="1:31" x14ac:dyDescent="0.45">
      <c r="A9" s="52" t="s">
        <v>10</v>
      </c>
      <c r="B9" s="49" t="s">
        <v>9</v>
      </c>
      <c r="C9" s="53">
        <v>2856045.8325844579</v>
      </c>
      <c r="D9" s="53">
        <v>2836809</v>
      </c>
      <c r="E9" s="53">
        <v>2911699.0000000005</v>
      </c>
      <c r="F9" s="53">
        <v>2948172</v>
      </c>
      <c r="G9" s="53">
        <v>2946456</v>
      </c>
      <c r="I9" s="53">
        <v>97294</v>
      </c>
      <c r="J9" s="53">
        <v>100824.97374611688</v>
      </c>
      <c r="K9" s="53">
        <v>100947.09838885683</v>
      </c>
      <c r="L9" s="53">
        <v>102398.30526455554</v>
      </c>
      <c r="M9" s="53">
        <v>103869.91081894003</v>
      </c>
      <c r="O9" s="53">
        <f t="shared" si="3"/>
        <v>352257.59030375455</v>
      </c>
      <c r="P9" s="53">
        <f t="shared" si="4"/>
        <v>337631.70705820352</v>
      </c>
      <c r="Q9" s="53">
        <f t="shared" si="5"/>
        <v>346125.7287991246</v>
      </c>
      <c r="R9" s="53">
        <f t="shared" si="6"/>
        <v>345494.62423814024</v>
      </c>
      <c r="S9" s="53">
        <f t="shared" si="7"/>
        <v>340401.48606301477</v>
      </c>
      <c r="V9" s="51">
        <f t="shared" si="8"/>
        <v>-4.1520420420008586E-2</v>
      </c>
      <c r="W9" s="51">
        <f t="shared" si="9"/>
        <v>2.5157654223087578E-2</v>
      </c>
      <c r="X9" s="51">
        <f t="shared" si="10"/>
        <v>-1.8233390599825539E-3</v>
      </c>
      <c r="Y9" s="51">
        <f t="shared" si="11"/>
        <v>-1.4741584435232546E-2</v>
      </c>
      <c r="AB9" s="51">
        <f t="shared" si="12"/>
        <v>3.6291793390310634E-2</v>
      </c>
      <c r="AC9" s="51">
        <f t="shared" si="13"/>
        <v>1.2112539007196332E-3</v>
      </c>
      <c r="AD9" s="51">
        <f t="shared" si="14"/>
        <v>1.4375914700475612E-2</v>
      </c>
      <c r="AE9" s="51">
        <f t="shared" si="15"/>
        <v>1.4371385840639128E-2</v>
      </c>
    </row>
    <row r="10" spans="1:31" x14ac:dyDescent="0.45">
      <c r="A10" s="52" t="s">
        <v>11</v>
      </c>
      <c r="B10" s="49" t="s">
        <v>9</v>
      </c>
      <c r="C10" s="53">
        <v>1761911.047761543</v>
      </c>
      <c r="D10" s="53">
        <v>1789712</v>
      </c>
      <c r="E10" s="53">
        <v>1831289</v>
      </c>
      <c r="F10" s="53">
        <v>1853862</v>
      </c>
      <c r="G10" s="53">
        <v>1858617</v>
      </c>
      <c r="I10" s="53">
        <f>10079+24</f>
        <v>10103</v>
      </c>
      <c r="J10" s="53">
        <v>10218.051131441669</v>
      </c>
      <c r="K10" s="53">
        <v>10573.371751323841</v>
      </c>
      <c r="L10" s="53">
        <v>11333.555688686807</v>
      </c>
      <c r="M10" s="53">
        <v>12531.784032918931</v>
      </c>
      <c r="O10" s="53">
        <f t="shared" si="3"/>
        <v>2092738.0553438102</v>
      </c>
      <c r="P10" s="53">
        <f t="shared" si="4"/>
        <v>2101823.8922210075</v>
      </c>
      <c r="Q10" s="53">
        <f t="shared" si="5"/>
        <v>2078378.4507764571</v>
      </c>
      <c r="R10" s="53">
        <f t="shared" si="6"/>
        <v>1962874.1950953992</v>
      </c>
      <c r="S10" s="53">
        <f t="shared" si="7"/>
        <v>1779746.9172316275</v>
      </c>
      <c r="V10" s="51">
        <f t="shared" si="8"/>
        <v>4.3416025498252964E-3</v>
      </c>
      <c r="W10" s="51">
        <f t="shared" si="9"/>
        <v>-1.1154807751174389E-2</v>
      </c>
      <c r="X10" s="51">
        <f t="shared" si="10"/>
        <v>-5.5574217312495233E-2</v>
      </c>
      <c r="Y10" s="51">
        <f t="shared" si="11"/>
        <v>-9.3295473709598231E-2</v>
      </c>
      <c r="AB10" s="51">
        <f t="shared" si="12"/>
        <v>1.1387818612458522E-2</v>
      </c>
      <c r="AC10" s="51">
        <f t="shared" si="13"/>
        <v>3.4773815017310472E-2</v>
      </c>
      <c r="AD10" s="51">
        <f t="shared" si="14"/>
        <v>7.1896075844281926E-2</v>
      </c>
      <c r="AE10" s="51">
        <f t="shared" si="15"/>
        <v>0.10572395611274921</v>
      </c>
    </row>
    <row r="11" spans="1:31" x14ac:dyDescent="0.45">
      <c r="A11" s="52">
        <v>29</v>
      </c>
      <c r="B11" s="49" t="s">
        <v>12</v>
      </c>
      <c r="C11" s="53">
        <v>15293.727999999999</v>
      </c>
      <c r="D11" s="53">
        <v>14336.000000000002</v>
      </c>
      <c r="E11" s="53">
        <v>14668</v>
      </c>
      <c r="F11" s="53">
        <v>14778</v>
      </c>
      <c r="G11" s="53">
        <v>14768.999999999998</v>
      </c>
      <c r="I11" s="53">
        <v>7895</v>
      </c>
      <c r="J11" s="53">
        <v>7938</v>
      </c>
      <c r="K11" s="53">
        <v>8019</v>
      </c>
      <c r="L11" s="53">
        <v>8099</v>
      </c>
      <c r="M11" s="53">
        <v>8174</v>
      </c>
      <c r="O11" s="53">
        <f t="shared" si="3"/>
        <v>23245.691703609878</v>
      </c>
      <c r="P11" s="53">
        <f t="shared" si="4"/>
        <v>21671.957671957673</v>
      </c>
      <c r="Q11" s="53">
        <f t="shared" si="5"/>
        <v>21949.869060980174</v>
      </c>
      <c r="R11" s="53">
        <f t="shared" si="6"/>
        <v>21896.036547721942</v>
      </c>
      <c r="S11" s="53">
        <f t="shared" si="7"/>
        <v>21681.918277465134</v>
      </c>
      <c r="V11" s="51">
        <f t="shared" si="8"/>
        <v>-6.7700030255835153E-2</v>
      </c>
      <c r="W11" s="51">
        <f t="shared" si="9"/>
        <v>1.2823547979798011E-2</v>
      </c>
      <c r="X11" s="51">
        <f t="shared" si="10"/>
        <v>-2.4525209288801531E-3</v>
      </c>
      <c r="Y11" s="51">
        <f t="shared" si="11"/>
        <v>-9.7788597397588939E-3</v>
      </c>
      <c r="AB11" s="51">
        <f t="shared" si="12"/>
        <v>5.4464851171627249E-3</v>
      </c>
      <c r="AC11" s="51">
        <f t="shared" si="13"/>
        <v>1.0204081632652962E-2</v>
      </c>
      <c r="AD11" s="51">
        <f t="shared" si="14"/>
        <v>9.9763062726025975E-3</v>
      </c>
      <c r="AE11" s="51">
        <f t="shared" si="15"/>
        <v>9.2604025188294248E-3</v>
      </c>
    </row>
    <row r="12" spans="1:31" x14ac:dyDescent="0.45">
      <c r="A12" s="52" t="s">
        <v>13</v>
      </c>
      <c r="B12" s="49" t="s">
        <v>14</v>
      </c>
      <c r="C12" s="53">
        <v>1307770.0591754341</v>
      </c>
      <c r="D12" s="53">
        <v>1318295</v>
      </c>
      <c r="E12" s="53">
        <v>1332008</v>
      </c>
      <c r="F12" s="53">
        <v>1335448</v>
      </c>
      <c r="G12" s="53">
        <v>1324706</v>
      </c>
      <c r="I12" s="53">
        <v>5887</v>
      </c>
      <c r="J12" s="53">
        <v>6086.1696385856967</v>
      </c>
      <c r="K12" s="53">
        <v>6136.0693760082077</v>
      </c>
      <c r="L12" s="53">
        <v>6164.1310308628408</v>
      </c>
      <c r="M12" s="53">
        <v>6181.5979449839933</v>
      </c>
      <c r="O12" s="53">
        <f t="shared" si="3"/>
        <v>2665744.9821819616</v>
      </c>
      <c r="P12" s="53">
        <f t="shared" si="4"/>
        <v>2599260.444484775</v>
      </c>
      <c r="Q12" s="53">
        <f t="shared" si="5"/>
        <v>2604940.5605642581</v>
      </c>
      <c r="R12" s="53">
        <f t="shared" si="6"/>
        <v>2599778.6094687874</v>
      </c>
      <c r="S12" s="53">
        <f t="shared" si="7"/>
        <v>2571579.734152568</v>
      </c>
      <c r="V12" s="51">
        <f t="shared" si="8"/>
        <v>-2.4940321801813159E-2</v>
      </c>
      <c r="W12" s="51">
        <f t="shared" si="9"/>
        <v>2.1852816217533544E-3</v>
      </c>
      <c r="X12" s="51">
        <f t="shared" si="10"/>
        <v>-1.9816003380715985E-3</v>
      </c>
      <c r="Y12" s="51">
        <f t="shared" si="11"/>
        <v>-1.0846644869495714E-2</v>
      </c>
      <c r="AB12" s="51">
        <f t="shared" si="12"/>
        <v>3.3832111191727021E-2</v>
      </c>
      <c r="AC12" s="51">
        <f t="shared" si="13"/>
        <v>8.1988739035716574E-3</v>
      </c>
      <c r="AD12" s="51">
        <f t="shared" si="14"/>
        <v>4.5732297233067598E-3</v>
      </c>
      <c r="AE12" s="51">
        <f t="shared" si="15"/>
        <v>2.833637707196468E-3</v>
      </c>
    </row>
    <row r="13" spans="1:31" x14ac:dyDescent="0.45">
      <c r="A13" s="52">
        <v>35</v>
      </c>
      <c r="B13" s="49" t="s">
        <v>15</v>
      </c>
      <c r="C13" s="53">
        <v>4387.6440000000002</v>
      </c>
      <c r="D13" s="53">
        <v>4565</v>
      </c>
      <c r="E13" s="53">
        <v>4663</v>
      </c>
      <c r="F13" s="53">
        <v>4695</v>
      </c>
      <c r="G13" s="53">
        <v>4694</v>
      </c>
      <c r="I13" s="53">
        <v>24</v>
      </c>
      <c r="J13" s="53">
        <v>24</v>
      </c>
      <c r="K13" s="53">
        <v>24</v>
      </c>
      <c r="L13" s="53">
        <v>24</v>
      </c>
      <c r="M13" s="53">
        <v>24</v>
      </c>
      <c r="O13" s="53">
        <f t="shared" si="3"/>
        <v>2193822</v>
      </c>
      <c r="P13" s="53">
        <f t="shared" si="4"/>
        <v>2282500</v>
      </c>
      <c r="Q13" s="53">
        <f t="shared" si="5"/>
        <v>2331500</v>
      </c>
      <c r="R13" s="53">
        <f t="shared" si="6"/>
        <v>2347500</v>
      </c>
      <c r="S13" s="53">
        <f t="shared" si="7"/>
        <v>2347000</v>
      </c>
      <c r="V13" s="51">
        <f t="shared" si="8"/>
        <v>4.0421693282317372E-2</v>
      </c>
      <c r="W13" s="51">
        <f t="shared" si="9"/>
        <v>2.1467688937568452E-2</v>
      </c>
      <c r="X13" s="51">
        <f t="shared" si="10"/>
        <v>6.8625348488098314E-3</v>
      </c>
      <c r="Y13" s="51">
        <f t="shared" si="11"/>
        <v>-2.1299254526097045E-4</v>
      </c>
      <c r="AB13" s="51">
        <f t="shared" si="12"/>
        <v>0</v>
      </c>
      <c r="AC13" s="51">
        <f t="shared" si="13"/>
        <v>0</v>
      </c>
      <c r="AD13" s="51">
        <f t="shared" si="14"/>
        <v>0</v>
      </c>
      <c r="AE13" s="51">
        <f t="shared" si="15"/>
        <v>0</v>
      </c>
    </row>
    <row r="14" spans="1:31" x14ac:dyDescent="0.45">
      <c r="A14" s="52">
        <v>43</v>
      </c>
      <c r="B14" s="49" t="s">
        <v>16</v>
      </c>
      <c r="C14" s="53">
        <v>114099.11728442684</v>
      </c>
      <c r="D14" s="53">
        <v>114881</v>
      </c>
      <c r="E14" s="53">
        <v>118190</v>
      </c>
      <c r="F14" s="53">
        <v>119782</v>
      </c>
      <c r="G14" s="53">
        <v>119354</v>
      </c>
      <c r="I14" s="53">
        <v>1760</v>
      </c>
      <c r="J14" s="53">
        <v>1796.2428978453806</v>
      </c>
      <c r="K14" s="53">
        <v>1815.6033001416461</v>
      </c>
      <c r="L14" s="53">
        <v>1832.640204697733</v>
      </c>
      <c r="M14" s="53">
        <v>1849.703589915822</v>
      </c>
      <c r="O14" s="53">
        <f t="shared" si="3"/>
        <v>777948.52693927393</v>
      </c>
      <c r="P14" s="53">
        <f t="shared" si="4"/>
        <v>767475.26832457737</v>
      </c>
      <c r="Q14" s="53">
        <f t="shared" si="5"/>
        <v>781161.83193176147</v>
      </c>
      <c r="R14" s="53">
        <f t="shared" si="6"/>
        <v>784324.16593036347</v>
      </c>
      <c r="S14" s="53">
        <f t="shared" si="7"/>
        <v>774312.16969481029</v>
      </c>
      <c r="V14" s="51">
        <f t="shared" si="8"/>
        <v>-1.3462662698137784E-2</v>
      </c>
      <c r="W14" s="51">
        <f t="shared" si="9"/>
        <v>1.7833230818059098E-2</v>
      </c>
      <c r="X14" s="51">
        <f t="shared" si="10"/>
        <v>4.0482443833460557E-3</v>
      </c>
      <c r="Y14" s="51">
        <f t="shared" si="11"/>
        <v>-1.27651252765838E-2</v>
      </c>
      <c r="AB14" s="51">
        <f t="shared" si="12"/>
        <v>2.0592555593966333E-2</v>
      </c>
      <c r="AC14" s="51">
        <f t="shared" si="13"/>
        <v>1.0778276323034408E-2</v>
      </c>
      <c r="AD14" s="51">
        <f t="shared" si="14"/>
        <v>9.3836051932478792E-3</v>
      </c>
      <c r="AE14" s="51">
        <f t="shared" si="15"/>
        <v>9.3108211717440881E-3</v>
      </c>
    </row>
    <row r="15" spans="1:31" s="55" customFormat="1" x14ac:dyDescent="0.45">
      <c r="A15" s="54">
        <v>46</v>
      </c>
      <c r="B15" s="55" t="s">
        <v>17</v>
      </c>
      <c r="C15" s="56">
        <v>100810.05100000001</v>
      </c>
      <c r="D15" s="56">
        <v>78958</v>
      </c>
      <c r="E15" s="56">
        <v>78251</v>
      </c>
      <c r="F15" s="56">
        <v>77611</v>
      </c>
      <c r="G15" s="56">
        <v>76484</v>
      </c>
      <c r="I15" s="56">
        <v>72</v>
      </c>
      <c r="J15" s="56">
        <f>I15</f>
        <v>72</v>
      </c>
      <c r="K15" s="56">
        <f t="shared" ref="K15:M15" si="16">J15</f>
        <v>72</v>
      </c>
      <c r="L15" s="56">
        <f t="shared" si="16"/>
        <v>72</v>
      </c>
      <c r="M15" s="56">
        <f t="shared" si="16"/>
        <v>72</v>
      </c>
      <c r="O15" s="53">
        <f t="shared" ref="O15:O16" si="17">C15/(I15/12)*1000</f>
        <v>16801675.166666668</v>
      </c>
      <c r="P15" s="53">
        <f t="shared" ref="P15:P16" si="18">D15/(J15/12)*1000</f>
        <v>13159666.666666666</v>
      </c>
      <c r="Q15" s="53">
        <f t="shared" ref="Q15:Q16" si="19">E15/(K15/12)*1000</f>
        <v>13041833.333333334</v>
      </c>
      <c r="R15" s="53">
        <f t="shared" ref="R15:R16" si="20">F15/(L15/12)*1000</f>
        <v>12935166.666666666</v>
      </c>
      <c r="S15" s="53">
        <f t="shared" ref="S15:S16" si="21">G15/(M15/12)*1000</f>
        <v>12747333.333333334</v>
      </c>
      <c r="V15" s="51">
        <f t="shared" ref="V15:V16" si="22">P15/O15-1</f>
        <v>-0.21676460614031445</v>
      </c>
      <c r="W15" s="51">
        <f t="shared" ref="W15:W16" si="23">Q15/P15-1</f>
        <v>-8.954127510828469E-3</v>
      </c>
      <c r="X15" s="51">
        <f t="shared" ref="X15:X16" si="24">R15/Q15-1</f>
        <v>-8.1788092164957193E-3</v>
      </c>
      <c r="Y15" s="51">
        <f t="shared" ref="Y15:Y16" si="25">S15/R15-1</f>
        <v>-1.4521137467626954E-2</v>
      </c>
      <c r="AB15" s="51">
        <f t="shared" ref="AB15:AB16" si="26">J15/I15-1</f>
        <v>0</v>
      </c>
      <c r="AC15" s="51">
        <f t="shared" ref="AC15:AC16" si="27">K15/J15-1</f>
        <v>0</v>
      </c>
      <c r="AD15" s="51">
        <f t="shared" ref="AD15:AD16" si="28">L15/K15-1</f>
        <v>0</v>
      </c>
      <c r="AE15" s="51">
        <f t="shared" ref="AE15:AE16" si="29">M15/L15-1</f>
        <v>0</v>
      </c>
    </row>
    <row r="16" spans="1:31" s="55" customFormat="1" x14ac:dyDescent="0.45">
      <c r="A16" s="54">
        <v>49</v>
      </c>
      <c r="B16" s="55" t="s">
        <v>18</v>
      </c>
      <c r="C16" s="56">
        <v>513293.73700000002</v>
      </c>
      <c r="D16" s="56">
        <v>504163</v>
      </c>
      <c r="E16" s="56">
        <v>504715</v>
      </c>
      <c r="F16" s="56">
        <v>499683</v>
      </c>
      <c r="G16" s="56">
        <v>489052</v>
      </c>
      <c r="I16" s="56">
        <v>214</v>
      </c>
      <c r="J16" s="56">
        <f>I16</f>
        <v>214</v>
      </c>
      <c r="K16" s="56">
        <f t="shared" ref="K16:M16" si="30">J16</f>
        <v>214</v>
      </c>
      <c r="L16" s="56">
        <f t="shared" si="30"/>
        <v>214</v>
      </c>
      <c r="M16" s="56">
        <f t="shared" si="30"/>
        <v>214</v>
      </c>
      <c r="O16" s="53">
        <f t="shared" si="17"/>
        <v>28782826.373831779</v>
      </c>
      <c r="P16" s="53">
        <f t="shared" si="18"/>
        <v>28270822.429906543</v>
      </c>
      <c r="Q16" s="53">
        <f t="shared" si="19"/>
        <v>28301775.700934581</v>
      </c>
      <c r="R16" s="53">
        <f t="shared" si="20"/>
        <v>28019607.476635516</v>
      </c>
      <c r="S16" s="53">
        <f t="shared" si="21"/>
        <v>27423476.635514021</v>
      </c>
      <c r="V16" s="51">
        <f t="shared" si="22"/>
        <v>-1.778852213036064E-2</v>
      </c>
      <c r="W16" s="51">
        <f t="shared" si="23"/>
        <v>1.0948839958506706E-3</v>
      </c>
      <c r="X16" s="51">
        <f t="shared" si="24"/>
        <v>-9.9699830597466121E-3</v>
      </c>
      <c r="Y16" s="51">
        <f t="shared" si="25"/>
        <v>-2.1275488659810327E-2</v>
      </c>
      <c r="AB16" s="51">
        <f t="shared" si="26"/>
        <v>0</v>
      </c>
      <c r="AC16" s="51">
        <f t="shared" si="27"/>
        <v>0</v>
      </c>
      <c r="AD16" s="51">
        <f t="shared" si="28"/>
        <v>0</v>
      </c>
      <c r="AE16" s="51">
        <f t="shared" si="29"/>
        <v>0</v>
      </c>
    </row>
    <row r="17" spans="1:31" x14ac:dyDescent="0.45">
      <c r="A17" s="52" t="s">
        <v>21</v>
      </c>
      <c r="B17" s="49" t="s">
        <v>22</v>
      </c>
      <c r="C17" s="53">
        <v>1945214.1669999999</v>
      </c>
      <c r="D17" s="53">
        <v>1900721</v>
      </c>
      <c r="E17" s="53">
        <v>1895530</v>
      </c>
      <c r="F17" s="53">
        <v>1895104</v>
      </c>
      <c r="G17" s="53">
        <v>1883722</v>
      </c>
      <c r="I17" s="53">
        <v>240</v>
      </c>
      <c r="J17" s="53">
        <v>240</v>
      </c>
      <c r="K17" s="53">
        <v>240</v>
      </c>
      <c r="L17" s="53">
        <v>240</v>
      </c>
      <c r="M17" s="53">
        <v>240</v>
      </c>
      <c r="O17" s="53">
        <f t="shared" ref="O17:O18" si="31">C17/(I17/12)*1000</f>
        <v>97260708.349999994</v>
      </c>
      <c r="P17" s="53">
        <f t="shared" ref="P17:P18" si="32">D17/(J17/12)*1000</f>
        <v>95036050</v>
      </c>
      <c r="Q17" s="53">
        <f t="shared" ref="Q17:Q18" si="33">E17/(K17/12)*1000</f>
        <v>94776500</v>
      </c>
      <c r="R17" s="53">
        <f t="shared" ref="R17:R18" si="34">F17/(L17/12)*1000</f>
        <v>94755200</v>
      </c>
      <c r="S17" s="53">
        <f t="shared" ref="S17:S18" si="35">G17/(M17/12)*1000</f>
        <v>94186100</v>
      </c>
      <c r="V17" s="51">
        <f t="shared" ref="V17:V18" si="36">P17/O17-1</f>
        <v>-2.2873145669414563E-2</v>
      </c>
      <c r="W17" s="51">
        <f t="shared" ref="W17:W18" si="37">Q17/P17-1</f>
        <v>-2.7310688943826822E-3</v>
      </c>
      <c r="X17" s="51">
        <f t="shared" ref="X17:X18" si="38">R17/Q17-1</f>
        <v>-2.2473925498411873E-4</v>
      </c>
      <c r="Y17" s="51">
        <f t="shared" ref="Y17:Y18" si="39">S17/R17-1</f>
        <v>-6.0060028367836527E-3</v>
      </c>
      <c r="AB17" s="51">
        <f t="shared" ref="AB17:AB18" si="40">J17/I17-1</f>
        <v>0</v>
      </c>
      <c r="AC17" s="51">
        <f t="shared" ref="AC17:AC18" si="41">K17/J17-1</f>
        <v>0</v>
      </c>
      <c r="AD17" s="51">
        <f t="shared" ref="AD17:AD18" si="42">L17/K17-1</f>
        <v>0</v>
      </c>
      <c r="AE17" s="51">
        <f t="shared" ref="AE17:AE18" si="43">M17/L17-1</f>
        <v>0</v>
      </c>
    </row>
    <row r="18" spans="1:31" s="58" customFormat="1" x14ac:dyDescent="0.45">
      <c r="A18" s="57" t="s">
        <v>23</v>
      </c>
      <c r="B18" s="58" t="s">
        <v>24</v>
      </c>
      <c r="C18" s="59">
        <v>278070.311162</v>
      </c>
      <c r="D18" s="59">
        <v>289426</v>
      </c>
      <c r="E18" s="59">
        <v>289426</v>
      </c>
      <c r="F18" s="59">
        <v>289426</v>
      </c>
      <c r="G18" s="59">
        <v>289426</v>
      </c>
      <c r="I18" s="59">
        <v>1078</v>
      </c>
      <c r="J18" s="59">
        <v>1068.2296072507554</v>
      </c>
      <c r="K18" s="59">
        <v>1068.2296072507554</v>
      </c>
      <c r="L18" s="59">
        <v>1068.2296072507554</v>
      </c>
      <c r="M18" s="59">
        <v>1068.2296072507554</v>
      </c>
      <c r="O18" s="59">
        <f t="shared" si="31"/>
        <v>3095402.350597403</v>
      </c>
      <c r="P18" s="59">
        <f t="shared" si="32"/>
        <v>3251278.5420154752</v>
      </c>
      <c r="Q18" s="59">
        <f t="shared" si="33"/>
        <v>3251278.5420154752</v>
      </c>
      <c r="R18" s="59">
        <f t="shared" si="34"/>
        <v>3251278.5420154752</v>
      </c>
      <c r="S18" s="59">
        <f t="shared" si="35"/>
        <v>3251278.5420154752</v>
      </c>
      <c r="V18" s="60">
        <f t="shared" si="36"/>
        <v>5.035732798613024E-2</v>
      </c>
      <c r="W18" s="60">
        <f t="shared" si="37"/>
        <v>0</v>
      </c>
      <c r="X18" s="60">
        <f t="shared" si="38"/>
        <v>0</v>
      </c>
      <c r="Y18" s="60">
        <f t="shared" si="39"/>
        <v>0</v>
      </c>
      <c r="AB18" s="60">
        <f t="shared" si="40"/>
        <v>-9.0634441087612538E-3</v>
      </c>
      <c r="AC18" s="60">
        <f t="shared" si="41"/>
        <v>0</v>
      </c>
      <c r="AD18" s="60">
        <f t="shared" si="42"/>
        <v>0</v>
      </c>
      <c r="AE18" s="60">
        <f t="shared" si="43"/>
        <v>0</v>
      </c>
    </row>
    <row r="19" spans="1:31" s="62" customFormat="1" x14ac:dyDescent="0.45">
      <c r="A19" s="61">
        <v>5</v>
      </c>
      <c r="B19" s="62" t="s">
        <v>25</v>
      </c>
      <c r="C19" s="63">
        <v>7372.3372879022108</v>
      </c>
      <c r="D19" s="63">
        <v>7520</v>
      </c>
      <c r="E19" s="63">
        <v>7521</v>
      </c>
      <c r="F19" s="63">
        <v>7552</v>
      </c>
      <c r="G19" s="63">
        <v>7521</v>
      </c>
      <c r="I19" s="63">
        <v>96</v>
      </c>
      <c r="J19" s="63"/>
      <c r="K19" s="63"/>
      <c r="L19" s="63"/>
      <c r="M19" s="63"/>
    </row>
    <row r="20" spans="1:31" x14ac:dyDescent="0.45">
      <c r="B20" s="49" t="s">
        <v>33</v>
      </c>
      <c r="C20" s="64">
        <f>SUM(C7:C19)</f>
        <v>22918455.706883669</v>
      </c>
      <c r="D20" s="64">
        <f t="shared" ref="D20:G20" si="44">SUM(D7:D19)</f>
        <v>22344856</v>
      </c>
      <c r="E20" s="64">
        <f t="shared" si="44"/>
        <v>22532075</v>
      </c>
      <c r="F20" s="64">
        <f t="shared" si="44"/>
        <v>22729758</v>
      </c>
      <c r="G20" s="64">
        <f t="shared" si="44"/>
        <v>22745018</v>
      </c>
      <c r="Q20" s="64"/>
    </row>
    <row r="21" spans="1:31" x14ac:dyDescent="0.45">
      <c r="C21" s="64"/>
      <c r="D21" s="64"/>
      <c r="E21" s="64"/>
      <c r="F21" s="64"/>
      <c r="G21" s="64"/>
    </row>
    <row r="22" spans="1:31" x14ac:dyDescent="0.45">
      <c r="A22" s="52" t="s">
        <v>19</v>
      </c>
      <c r="B22" s="49" t="s">
        <v>20</v>
      </c>
      <c r="C22" s="53">
        <v>69892.887000000002</v>
      </c>
      <c r="D22" s="53">
        <v>64560</v>
      </c>
      <c r="E22" s="53">
        <v>62703</v>
      </c>
      <c r="F22" s="53">
        <v>61382</v>
      </c>
      <c r="G22" s="53">
        <v>60001</v>
      </c>
      <c r="I22" s="53"/>
      <c r="J22" s="53"/>
      <c r="K22" s="53"/>
      <c r="L22" s="53"/>
      <c r="M22" s="53"/>
    </row>
    <row r="23" spans="1:31" x14ac:dyDescent="0.4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  <row r="24" spans="1:31" x14ac:dyDescent="0.45">
      <c r="A24" s="49" t="s">
        <v>29</v>
      </c>
    </row>
    <row r="25" spans="1:31" x14ac:dyDescent="0.45">
      <c r="A25" s="49" t="s">
        <v>124</v>
      </c>
    </row>
  </sheetData>
  <mergeCells count="9">
    <mergeCell ref="A1:S1"/>
    <mergeCell ref="A2:S2"/>
    <mergeCell ref="A6:B6"/>
    <mergeCell ref="AA3:AE3"/>
    <mergeCell ref="U2:Y2"/>
    <mergeCell ref="C3:G3"/>
    <mergeCell ref="I3:M3"/>
    <mergeCell ref="O3:S3"/>
    <mergeCell ref="U3:Y3"/>
  </mergeCells>
  <pageMargins left="0.6" right="0.5" top="1" bottom="0.6" header="0" footer="0"/>
  <pageSetup scale="45" fitToHeight="3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tabSelected="1" topLeftCell="D34" workbookViewId="0">
      <selection activeCell="H58" sqref="H58"/>
    </sheetView>
  </sheetViews>
  <sheetFormatPr defaultRowHeight="14.25" x14ac:dyDescent="0.45"/>
  <cols>
    <col min="1" max="1" width="11" customWidth="1"/>
    <col min="2" max="2" width="44.59765625" customWidth="1"/>
    <col min="3" max="3" width="16.796875" customWidth="1"/>
    <col min="4" max="4" width="20.06640625" style="1" customWidth="1"/>
    <col min="5" max="5" width="19.59765625" customWidth="1"/>
    <col min="6" max="6" width="1" customWidth="1"/>
    <col min="7" max="7" width="17.265625" customWidth="1"/>
    <col min="8" max="8" width="19.19921875" style="1" customWidth="1"/>
    <col min="9" max="9" width="18.53125" customWidth="1"/>
    <col min="10" max="10" width="1.53125" customWidth="1"/>
    <col min="11" max="11" width="13.9296875" customWidth="1"/>
    <col min="12" max="12" width="12" bestFit="1" customWidth="1"/>
    <col min="13" max="13" width="15.33203125" customWidth="1"/>
    <col min="14" max="14" width="3" customWidth="1"/>
    <col min="15" max="15" width="12.53125" hidden="1" customWidth="1"/>
    <col min="16" max="16" width="16.59765625" hidden="1" customWidth="1"/>
    <col min="17" max="17" width="14.53125" hidden="1" customWidth="1"/>
    <col min="18" max="18" width="12.265625" hidden="1" customWidth="1"/>
    <col min="19" max="19" width="10" hidden="1" customWidth="1"/>
    <col min="20" max="20" width="14.53125" hidden="1" customWidth="1"/>
    <col min="21" max="21" width="2.265625" customWidth="1"/>
    <col min="22" max="22" width="11" bestFit="1" customWidth="1"/>
    <col min="23" max="23" width="14.53125" bestFit="1" customWidth="1"/>
    <col min="24" max="24" width="12.265625" bestFit="1" customWidth="1"/>
    <col min="25" max="25" width="10" bestFit="1" customWidth="1"/>
    <col min="26" max="26" width="14.53125" bestFit="1" customWidth="1"/>
    <col min="27" max="27" width="2" customWidth="1"/>
    <col min="28" max="28" width="14.53125" bestFit="1" customWidth="1"/>
    <col min="29" max="29" width="12.59765625" bestFit="1" customWidth="1"/>
    <col min="30" max="30" width="17.265625" bestFit="1" customWidth="1"/>
    <col min="31" max="31" width="12.59765625" bestFit="1" customWidth="1"/>
    <col min="32" max="32" width="10.06640625" bestFit="1" customWidth="1"/>
  </cols>
  <sheetData>
    <row r="1" spans="1:32" x14ac:dyDescent="0.45">
      <c r="A1" s="134" t="s">
        <v>128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AA1" s="21"/>
    </row>
    <row r="2" spans="1:32" x14ac:dyDescent="0.45">
      <c r="A2" s="135" t="s">
        <v>135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20"/>
      <c r="U2" s="20"/>
      <c r="Y2" s="20"/>
      <c r="Z2" s="20"/>
      <c r="AA2" s="20"/>
    </row>
    <row r="3" spans="1:32" x14ac:dyDescent="0.45">
      <c r="R3" s="5"/>
      <c r="S3" s="5"/>
      <c r="T3" s="5"/>
      <c r="U3" s="5"/>
      <c r="Y3" s="5"/>
      <c r="Z3" s="5"/>
      <c r="AA3" s="5"/>
      <c r="AB3" s="118"/>
      <c r="AC3" s="118"/>
    </row>
    <row r="4" spans="1:32" s="5" customFormat="1" x14ac:dyDescent="0.45">
      <c r="A4" s="66"/>
      <c r="B4" s="67"/>
      <c r="C4" s="136" t="s">
        <v>59</v>
      </c>
      <c r="D4" s="136"/>
      <c r="E4" s="136"/>
      <c r="F4" s="68"/>
      <c r="G4" s="136" t="s">
        <v>28</v>
      </c>
      <c r="H4" s="136"/>
      <c r="I4" s="136"/>
      <c r="J4" s="67"/>
      <c r="K4" s="122" t="s">
        <v>55</v>
      </c>
      <c r="L4" s="122"/>
      <c r="M4" s="137"/>
    </row>
    <row r="5" spans="1:32" s="5" customFormat="1" x14ac:dyDescent="0.45">
      <c r="A5" s="100"/>
      <c r="B5" s="98"/>
      <c r="C5" s="17" t="s">
        <v>34</v>
      </c>
      <c r="D5" s="17" t="s">
        <v>32</v>
      </c>
      <c r="E5" s="98"/>
      <c r="F5" s="98"/>
      <c r="G5" s="17" t="s">
        <v>34</v>
      </c>
      <c r="H5" s="17" t="s">
        <v>32</v>
      </c>
      <c r="I5" s="98"/>
      <c r="J5" s="98"/>
      <c r="K5" s="98"/>
      <c r="L5" s="98"/>
      <c r="M5" s="101"/>
    </row>
    <row r="6" spans="1:32" s="5" customFormat="1" x14ac:dyDescent="0.45">
      <c r="A6" s="100"/>
      <c r="B6" s="98"/>
      <c r="C6" s="71" t="s">
        <v>35</v>
      </c>
      <c r="D6" s="17" t="s">
        <v>31</v>
      </c>
      <c r="E6" s="98"/>
      <c r="F6" s="98"/>
      <c r="G6" s="71" t="s">
        <v>35</v>
      </c>
      <c r="H6" s="17" t="s">
        <v>31</v>
      </c>
      <c r="I6" s="98"/>
      <c r="J6" s="98"/>
      <c r="K6" s="17" t="s">
        <v>34</v>
      </c>
      <c r="L6" s="17" t="s">
        <v>32</v>
      </c>
      <c r="M6" s="101"/>
    </row>
    <row r="7" spans="1:32" s="5" customFormat="1" x14ac:dyDescent="0.45">
      <c r="A7" s="126" t="s">
        <v>134</v>
      </c>
      <c r="B7" s="119"/>
      <c r="C7" s="99" t="s">
        <v>26</v>
      </c>
      <c r="D7" s="39" t="s">
        <v>27</v>
      </c>
      <c r="E7" s="99" t="s">
        <v>0</v>
      </c>
      <c r="F7" s="98"/>
      <c r="G7" s="99" t="s">
        <v>26</v>
      </c>
      <c r="H7" s="39" t="s">
        <v>27</v>
      </c>
      <c r="I7" s="99" t="s">
        <v>0</v>
      </c>
      <c r="J7" s="98"/>
      <c r="K7" s="65" t="s">
        <v>35</v>
      </c>
      <c r="L7" s="39" t="s">
        <v>31</v>
      </c>
      <c r="M7" s="102" t="s">
        <v>0</v>
      </c>
    </row>
    <row r="8" spans="1:32" x14ac:dyDescent="0.45">
      <c r="A8" s="73"/>
      <c r="B8" s="11"/>
      <c r="C8" s="11"/>
      <c r="D8" s="12"/>
      <c r="E8" s="11"/>
      <c r="F8" s="11"/>
      <c r="G8" s="11"/>
      <c r="H8" s="12"/>
      <c r="I8" s="11"/>
      <c r="J8" s="11"/>
      <c r="K8" s="11"/>
      <c r="L8" s="11"/>
      <c r="M8" s="74"/>
    </row>
    <row r="9" spans="1:32" x14ac:dyDescent="0.45">
      <c r="A9" s="75" t="s">
        <v>6</v>
      </c>
      <c r="B9" s="11" t="s">
        <v>7</v>
      </c>
      <c r="C9" s="12">
        <v>10442426489</v>
      </c>
      <c r="D9" s="12">
        <v>10623030236</v>
      </c>
      <c r="E9" s="12">
        <f>'GAW-4-4 PSE Forecast'!C7*1000</f>
        <v>11355354571.603521</v>
      </c>
      <c r="F9" s="12"/>
      <c r="G9" s="12">
        <v>11999298</v>
      </c>
      <c r="H9" s="12">
        <v>12361319</v>
      </c>
      <c r="I9" s="12">
        <f>'GAW-4-4 PSE Forecast'!I7</f>
        <v>12762461</v>
      </c>
      <c r="J9" s="12"/>
      <c r="K9" s="12">
        <f t="shared" ref="K9:K19" si="0">C9/G9*12</f>
        <v>10443.037406688292</v>
      </c>
      <c r="L9" s="12">
        <f t="shared" ref="L9:L19" si="1">D9/H9*12</f>
        <v>10312.521085492575</v>
      </c>
      <c r="M9" s="76">
        <f t="shared" ref="M9:M19" si="2">E9/I9*12</f>
        <v>10676.957591427097</v>
      </c>
      <c r="N9" s="1"/>
      <c r="U9" s="1"/>
      <c r="AA9" s="1"/>
      <c r="AD9" s="1"/>
      <c r="AE9" s="1"/>
      <c r="AF9" s="1"/>
    </row>
    <row r="10" spans="1:32" hidden="1" x14ac:dyDescent="0.45">
      <c r="A10" s="75" t="s">
        <v>8</v>
      </c>
      <c r="B10" s="11" t="s">
        <v>9</v>
      </c>
      <c r="C10" s="12">
        <v>2787459007</v>
      </c>
      <c r="D10" s="12">
        <v>2700129197</v>
      </c>
      <c r="E10" s="12">
        <f>'GAW-4-4 PSE Forecast'!C8*1000</f>
        <v>2658833103.0243802</v>
      </c>
      <c r="F10" s="12"/>
      <c r="G10" s="12">
        <v>1521915</v>
      </c>
      <c r="H10" s="12">
        <v>1568095</v>
      </c>
      <c r="I10" s="12">
        <f>'GAW-4-4 PSE Forecast'!I8</f>
        <v>1596239</v>
      </c>
      <c r="J10" s="12"/>
      <c r="K10" s="12">
        <f t="shared" si="0"/>
        <v>21978.565218162643</v>
      </c>
      <c r="L10" s="12">
        <f t="shared" si="1"/>
        <v>20663.002154843936</v>
      </c>
      <c r="M10" s="76">
        <f t="shared" si="2"/>
        <v>19988.233113144437</v>
      </c>
      <c r="N10" s="6"/>
      <c r="U10" s="1"/>
      <c r="V10" s="1" t="e">
        <f>#REF!*(1+#REF!)</f>
        <v>#REF!</v>
      </c>
      <c r="W10" s="1"/>
      <c r="X10" s="1" t="e">
        <f t="shared" ref="X10:X21" si="3">V10+W10</f>
        <v>#REF!</v>
      </c>
      <c r="Y10" s="1">
        <f>'GAW-4-4 PSE Forecast'!K8/12</f>
        <v>137354.83333333334</v>
      </c>
      <c r="Z10" s="1" t="e">
        <f t="shared" ref="Z10:Z21" si="4">X10*Y10</f>
        <v>#REF!</v>
      </c>
      <c r="AA10" s="1"/>
      <c r="AB10" s="1">
        <f>'GAW-4-4 PSE Forecast'!E8*1000</f>
        <v>2697633000</v>
      </c>
      <c r="AC10" s="7" t="e">
        <f t="shared" ref="AC10:AC21" si="5">Z10-AB10</f>
        <v>#REF!</v>
      </c>
    </row>
    <row r="11" spans="1:32" hidden="1" x14ac:dyDescent="0.45">
      <c r="A11" s="75" t="s">
        <v>10</v>
      </c>
      <c r="B11" s="11" t="s">
        <v>9</v>
      </c>
      <c r="C11" s="12">
        <v>2830898777</v>
      </c>
      <c r="D11" s="12">
        <v>2990164374</v>
      </c>
      <c r="E11" s="12">
        <f>'GAW-4-4 PSE Forecast'!C9*1000</f>
        <v>2856045832.5844579</v>
      </c>
      <c r="F11" s="12"/>
      <c r="G11" s="12">
        <v>86508</v>
      </c>
      <c r="H11" s="12">
        <v>93524</v>
      </c>
      <c r="I11" s="12">
        <f>'GAW-4-4 PSE Forecast'!I9</f>
        <v>97294</v>
      </c>
      <c r="J11" s="12"/>
      <c r="K11" s="12">
        <f t="shared" si="0"/>
        <v>392689.52378970734</v>
      </c>
      <c r="L11" s="12">
        <f t="shared" si="1"/>
        <v>383665.930541893</v>
      </c>
      <c r="M11" s="76">
        <f t="shared" si="2"/>
        <v>352257.59030375455</v>
      </c>
      <c r="N11" s="6"/>
      <c r="U11" s="1"/>
      <c r="V11" s="1" t="e">
        <f>#REF!*(1+#REF!)</f>
        <v>#REF!</v>
      </c>
      <c r="W11" s="1"/>
      <c r="X11" s="1" t="e">
        <f t="shared" si="3"/>
        <v>#REF!</v>
      </c>
      <c r="Y11" s="1">
        <f>'GAW-4-4 PSE Forecast'!K9/12</f>
        <v>8412.2581990714025</v>
      </c>
      <c r="Z11" s="1" t="e">
        <f t="shared" si="4"/>
        <v>#REF!</v>
      </c>
      <c r="AA11" s="1"/>
      <c r="AB11" s="1">
        <f>'GAW-4-4 PSE Forecast'!E9*1000</f>
        <v>2911699000.0000005</v>
      </c>
      <c r="AC11" s="7" t="e">
        <f t="shared" si="5"/>
        <v>#REF!</v>
      </c>
    </row>
    <row r="12" spans="1:32" hidden="1" x14ac:dyDescent="0.45">
      <c r="A12" s="75" t="s">
        <v>11</v>
      </c>
      <c r="B12" s="11" t="s">
        <v>9</v>
      </c>
      <c r="C12" s="12">
        <f>1854449604+13232300</f>
        <v>1867681904</v>
      </c>
      <c r="D12" s="12">
        <f>1930452064+10849300</f>
        <v>1941301364</v>
      </c>
      <c r="E12" s="12">
        <f>'GAW-4-4 PSE Forecast'!C10*1000</f>
        <v>1761911047.761543</v>
      </c>
      <c r="F12" s="12"/>
      <c r="G12" s="12">
        <f>24+9614</f>
        <v>9638</v>
      </c>
      <c r="H12" s="12">
        <f>10371+23</f>
        <v>10394</v>
      </c>
      <c r="I12" s="12">
        <f>'GAW-4-4 PSE Forecast'!I10</f>
        <v>10103</v>
      </c>
      <c r="J12" s="12"/>
      <c r="K12" s="12">
        <f t="shared" si="0"/>
        <v>2325397.6808466483</v>
      </c>
      <c r="L12" s="12">
        <f t="shared" si="1"/>
        <v>2241256.1446988648</v>
      </c>
      <c r="M12" s="76">
        <f t="shared" si="2"/>
        <v>2092738.0553438105</v>
      </c>
      <c r="N12" s="1"/>
      <c r="U12" s="1"/>
      <c r="V12" s="1" t="e">
        <f>#REF!*(1+#REF!)</f>
        <v>#REF!</v>
      </c>
      <c r="W12" s="1"/>
      <c r="X12" s="1" t="e">
        <f t="shared" si="3"/>
        <v>#REF!</v>
      </c>
      <c r="Y12" s="1">
        <f>'GAW-4-4 PSE Forecast'!K10/12</f>
        <v>881.1143126103201</v>
      </c>
      <c r="Z12" s="1" t="e">
        <f t="shared" si="4"/>
        <v>#REF!</v>
      </c>
      <c r="AA12" s="1"/>
      <c r="AB12" s="1">
        <f>'GAW-4-4 PSE Forecast'!E10*1000</f>
        <v>1831289000</v>
      </c>
      <c r="AC12" s="7" t="e">
        <f t="shared" si="5"/>
        <v>#REF!</v>
      </c>
    </row>
    <row r="13" spans="1:32" x14ac:dyDescent="0.45">
      <c r="A13" s="75">
        <v>29</v>
      </c>
      <c r="B13" s="11" t="s">
        <v>12</v>
      </c>
      <c r="C13" s="12">
        <v>14326829</v>
      </c>
      <c r="D13" s="12">
        <v>16009314</v>
      </c>
      <c r="E13" s="12">
        <f>'GAW-4-4 PSE Forecast'!C11*1000</f>
        <v>15293728</v>
      </c>
      <c r="F13" s="12"/>
      <c r="G13" s="12">
        <v>7290</v>
      </c>
      <c r="H13" s="12">
        <v>7906</v>
      </c>
      <c r="I13" s="12">
        <f>'GAW-4-4 PSE Forecast'!I11</f>
        <v>7895</v>
      </c>
      <c r="J13" s="12"/>
      <c r="K13" s="12">
        <f t="shared" si="0"/>
        <v>23583.257613168724</v>
      </c>
      <c r="L13" s="12">
        <f t="shared" si="1"/>
        <v>24299.490007589171</v>
      </c>
      <c r="M13" s="76">
        <f t="shared" si="2"/>
        <v>23245.691703609882</v>
      </c>
      <c r="N13" s="1"/>
      <c r="U13" s="1"/>
      <c r="AA13" s="1"/>
    </row>
    <row r="14" spans="1:32" hidden="1" x14ac:dyDescent="0.45">
      <c r="A14" s="75" t="s">
        <v>13</v>
      </c>
      <c r="B14" s="11" t="s">
        <v>14</v>
      </c>
      <c r="C14" s="12">
        <v>1264534374</v>
      </c>
      <c r="D14" s="12">
        <v>1407978352</v>
      </c>
      <c r="E14" s="12">
        <f>'GAW-4-4 PSE Forecast'!C12*1000</f>
        <v>1307770059.1754341</v>
      </c>
      <c r="F14" s="12"/>
      <c r="G14" s="12">
        <v>5842</v>
      </c>
      <c r="H14" s="12">
        <v>5942</v>
      </c>
      <c r="I14" s="12">
        <f>'GAW-4-4 PSE Forecast'!I12</f>
        <v>5887</v>
      </c>
      <c r="J14" s="12"/>
      <c r="K14" s="12">
        <f t="shared" si="0"/>
        <v>2597468.7586443</v>
      </c>
      <c r="L14" s="12">
        <f t="shared" si="1"/>
        <v>2843443.3227869403</v>
      </c>
      <c r="M14" s="76">
        <f t="shared" si="2"/>
        <v>2665744.9821819616</v>
      </c>
      <c r="N14" s="1"/>
      <c r="U14" s="1"/>
      <c r="V14" s="1" t="e">
        <f>#REF!*(1+#REF!)</f>
        <v>#REF!</v>
      </c>
      <c r="W14" s="1"/>
      <c r="X14" s="1" t="e">
        <f t="shared" si="3"/>
        <v>#REF!</v>
      </c>
      <c r="Y14" s="1">
        <f>'GAW-4-4 PSE Forecast'!K12/12</f>
        <v>511.33911466735066</v>
      </c>
      <c r="Z14" s="1" t="e">
        <f t="shared" si="4"/>
        <v>#REF!</v>
      </c>
      <c r="AA14" s="1"/>
      <c r="AB14" s="1">
        <f>'GAW-4-4 PSE Forecast'!E12*1000</f>
        <v>1332008000</v>
      </c>
      <c r="AC14" s="7" t="e">
        <f t="shared" si="5"/>
        <v>#REF!</v>
      </c>
    </row>
    <row r="15" spans="1:32" hidden="1" x14ac:dyDescent="0.45">
      <c r="A15" s="75">
        <v>35</v>
      </c>
      <c r="B15" s="11" t="s">
        <v>15</v>
      </c>
      <c r="C15" s="12">
        <v>4452600</v>
      </c>
      <c r="D15" s="12">
        <v>4443660</v>
      </c>
      <c r="E15" s="12">
        <f>'GAW-4-4 PSE Forecast'!C13*1000</f>
        <v>4387644</v>
      </c>
      <c r="F15" s="12"/>
      <c r="G15" s="12">
        <v>12</v>
      </c>
      <c r="H15" s="12">
        <v>39</v>
      </c>
      <c r="I15" s="12">
        <f>'GAW-4-4 PSE Forecast'!I13</f>
        <v>24</v>
      </c>
      <c r="J15" s="12"/>
      <c r="K15" s="12">
        <f t="shared" si="0"/>
        <v>4452600</v>
      </c>
      <c r="L15" s="12">
        <f t="shared" si="1"/>
        <v>1367280</v>
      </c>
      <c r="M15" s="76">
        <f t="shared" si="2"/>
        <v>2193822</v>
      </c>
      <c r="N15" s="1"/>
      <c r="U15" s="1"/>
      <c r="V15" s="1" t="e">
        <f>#REF!*(1+#REF!)</f>
        <v>#REF!</v>
      </c>
      <c r="W15" s="1"/>
      <c r="X15" s="1" t="e">
        <f t="shared" si="3"/>
        <v>#REF!</v>
      </c>
      <c r="Y15" s="1">
        <f>'GAW-4-4 PSE Forecast'!K13/12</f>
        <v>2</v>
      </c>
      <c r="Z15" s="1" t="e">
        <f t="shared" si="4"/>
        <v>#REF!</v>
      </c>
      <c r="AA15" s="1"/>
      <c r="AB15" s="1">
        <f>'GAW-4-4 PSE Forecast'!E13*1000</f>
        <v>4663000</v>
      </c>
      <c r="AC15" s="7" t="e">
        <f t="shared" si="5"/>
        <v>#REF!</v>
      </c>
    </row>
    <row r="16" spans="1:32" hidden="1" x14ac:dyDescent="0.45">
      <c r="A16" s="75">
        <v>43</v>
      </c>
      <c r="B16" s="11" t="s">
        <v>16</v>
      </c>
      <c r="C16" s="12">
        <v>119660401</v>
      </c>
      <c r="D16" s="12">
        <v>122500713</v>
      </c>
      <c r="E16" s="12">
        <f>'GAW-4-4 PSE Forecast'!C14*1000</f>
        <v>114099117.28442684</v>
      </c>
      <c r="F16" s="12"/>
      <c r="G16" s="12">
        <v>1904</v>
      </c>
      <c r="H16" s="12">
        <v>1874</v>
      </c>
      <c r="I16" s="12">
        <f>'GAW-4-4 PSE Forecast'!I14</f>
        <v>1760</v>
      </c>
      <c r="J16" s="12"/>
      <c r="K16" s="12">
        <f t="shared" si="0"/>
        <v>754162.1911764706</v>
      </c>
      <c r="L16" s="12">
        <f t="shared" si="1"/>
        <v>784422.92209178233</v>
      </c>
      <c r="M16" s="76">
        <f t="shared" si="2"/>
        <v>777948.52693927393</v>
      </c>
      <c r="N16" s="1"/>
      <c r="U16" s="1"/>
      <c r="V16" s="1" t="e">
        <f>#REF!*(1+#REF!)</f>
        <v>#REF!</v>
      </c>
      <c r="W16" s="1"/>
      <c r="X16" s="1" t="e">
        <f t="shared" si="3"/>
        <v>#REF!</v>
      </c>
      <c r="Y16" s="1">
        <f>'GAW-4-4 PSE Forecast'!K14/12</f>
        <v>151.30027501180385</v>
      </c>
      <c r="Z16" s="1" t="e">
        <f t="shared" si="4"/>
        <v>#REF!</v>
      </c>
      <c r="AA16" s="1"/>
      <c r="AB16" s="1">
        <f>'GAW-4-4 PSE Forecast'!E14*1000</f>
        <v>118190000</v>
      </c>
      <c r="AC16" s="7" t="e">
        <f t="shared" si="5"/>
        <v>#REF!</v>
      </c>
    </row>
    <row r="17" spans="1:29" x14ac:dyDescent="0.45">
      <c r="A17" s="77">
        <v>46</v>
      </c>
      <c r="B17" s="14" t="s">
        <v>17</v>
      </c>
      <c r="C17" s="15">
        <v>64275358</v>
      </c>
      <c r="D17" s="15">
        <v>78351492</v>
      </c>
      <c r="E17" s="12">
        <f>'GAW-4-4 PSE Forecast'!C15*1000</f>
        <v>100810051</v>
      </c>
      <c r="F17" s="12"/>
      <c r="G17" s="15">
        <v>60</v>
      </c>
      <c r="H17" s="15">
        <v>72</v>
      </c>
      <c r="I17" s="12">
        <f>'GAW-4-4 PSE Forecast'!I15</f>
        <v>72</v>
      </c>
      <c r="J17" s="12"/>
      <c r="K17" s="12">
        <f t="shared" si="0"/>
        <v>12855071.599999998</v>
      </c>
      <c r="L17" s="12">
        <f t="shared" si="1"/>
        <v>13058582</v>
      </c>
      <c r="M17" s="76">
        <f t="shared" si="2"/>
        <v>16801675.166666668</v>
      </c>
      <c r="N17" s="1"/>
      <c r="U17" s="1"/>
      <c r="AA17" s="1"/>
    </row>
    <row r="18" spans="1:29" hidden="1" x14ac:dyDescent="0.45">
      <c r="A18" s="77">
        <v>49</v>
      </c>
      <c r="B18" s="14" t="s">
        <v>18</v>
      </c>
      <c r="C18" s="15">
        <v>567983859</v>
      </c>
      <c r="D18" s="15">
        <v>542259321</v>
      </c>
      <c r="E18" s="12">
        <f>'GAW-4-4 PSE Forecast'!C16*1000</f>
        <v>513293737</v>
      </c>
      <c r="F18" s="12"/>
      <c r="G18" s="15">
        <v>240</v>
      </c>
      <c r="H18" s="15">
        <v>228</v>
      </c>
      <c r="I18" s="11">
        <f>'GAW-4-4 PSE Forecast'!I16</f>
        <v>214</v>
      </c>
      <c r="J18" s="12"/>
      <c r="K18" s="12">
        <f t="shared" si="0"/>
        <v>28399192.950000003</v>
      </c>
      <c r="L18" s="12">
        <f t="shared" si="1"/>
        <v>28539964.263157893</v>
      </c>
      <c r="M18" s="76">
        <f t="shared" si="2"/>
        <v>28782826.373831779</v>
      </c>
      <c r="N18" s="1"/>
      <c r="O18" s="6">
        <f t="shared" ref="O18:O21" si="6">(L18/K18)^(1/2.25)-1</f>
        <v>2.2000309115639549E-3</v>
      </c>
      <c r="P18" s="1">
        <f t="shared" ref="P18:P21" si="7">+L18*((1+O18)^4)</f>
        <v>28791949.517680243</v>
      </c>
      <c r="Q18" s="1"/>
      <c r="R18" s="1">
        <f t="shared" ref="R18:R21" si="8">P18+Q18</f>
        <v>28791949.517680243</v>
      </c>
      <c r="S18" s="1">
        <f>'GAW-4-4 PSE Forecast'!J16/12</f>
        <v>17.833333333333332</v>
      </c>
      <c r="T18" s="1">
        <f t="shared" ref="T18:T21" si="9">R18*S18</f>
        <v>513456433.0652976</v>
      </c>
      <c r="U18" s="1"/>
      <c r="V18" s="1">
        <f t="shared" ref="V18:V21" si="10">P18*(1+O18)</f>
        <v>28855292.696623329</v>
      </c>
      <c r="W18" s="1"/>
      <c r="X18" s="1">
        <f t="shared" si="3"/>
        <v>28855292.696623329</v>
      </c>
      <c r="Y18" s="1">
        <f>'GAW-4-4 PSE Forecast'!K16/12</f>
        <v>17.833333333333332</v>
      </c>
      <c r="Z18" s="1">
        <f t="shared" si="4"/>
        <v>514586053.08978266</v>
      </c>
      <c r="AA18" s="1"/>
      <c r="AB18" s="1">
        <f>'GAW-4-4 PSE Forecast'!E16*1000</f>
        <v>504715000</v>
      </c>
      <c r="AC18" s="7">
        <f t="shared" si="5"/>
        <v>9871053.0897826552</v>
      </c>
    </row>
    <row r="19" spans="1:29" hidden="1" x14ac:dyDescent="0.45">
      <c r="A19" s="75" t="s">
        <v>21</v>
      </c>
      <c r="B19" s="11" t="s">
        <v>22</v>
      </c>
      <c r="C19" s="12">
        <v>2090103637</v>
      </c>
      <c r="D19" s="12">
        <v>2028727006</v>
      </c>
      <c r="E19" s="12">
        <f>'GAW-4-4 PSE Forecast'!C17*1000</f>
        <v>1945214167</v>
      </c>
      <c r="F19" s="12"/>
      <c r="G19" s="12">
        <v>240</v>
      </c>
      <c r="H19" s="12">
        <v>240</v>
      </c>
      <c r="I19" s="11">
        <f>'GAW-4-4 PSE Forecast'!I17</f>
        <v>240</v>
      </c>
      <c r="J19" s="12"/>
      <c r="K19" s="12">
        <f t="shared" si="0"/>
        <v>104505181.84999999</v>
      </c>
      <c r="L19" s="12">
        <f t="shared" si="1"/>
        <v>101436350.3</v>
      </c>
      <c r="M19" s="76">
        <f t="shared" si="2"/>
        <v>97260708.349999994</v>
      </c>
      <c r="N19" s="1"/>
      <c r="O19" s="6">
        <f t="shared" si="6"/>
        <v>-1.3159379793350245E-2</v>
      </c>
      <c r="P19" s="1">
        <f t="shared" si="7"/>
        <v>96201464.851684451</v>
      </c>
      <c r="Q19" s="1"/>
      <c r="R19" s="1">
        <f t="shared" si="8"/>
        <v>96201464.851684451</v>
      </c>
      <c r="S19" s="1">
        <f>'GAW-4-4 PSE Forecast'!J17/12</f>
        <v>20</v>
      </c>
      <c r="T19" s="1">
        <f t="shared" si="9"/>
        <v>1924029297.033689</v>
      </c>
      <c r="U19" s="1"/>
      <c r="V19" s="1">
        <f t="shared" si="10"/>
        <v>94935513.239024505</v>
      </c>
      <c r="W19" s="1"/>
      <c r="X19" s="1">
        <f t="shared" si="3"/>
        <v>94935513.239024505</v>
      </c>
      <c r="Y19" s="1">
        <f>'GAW-4-4 PSE Forecast'!K17/12</f>
        <v>20</v>
      </c>
      <c r="Z19" s="1">
        <f t="shared" si="4"/>
        <v>1898710264.7804902</v>
      </c>
      <c r="AA19" s="1"/>
      <c r="AB19" s="1">
        <f>'GAW-4-4 PSE Forecast'!E17*1000</f>
        <v>1895530000</v>
      </c>
      <c r="AC19" s="7">
        <f t="shared" si="5"/>
        <v>3180264.78049016</v>
      </c>
    </row>
    <row r="20" spans="1:29" s="11" customFormat="1" hidden="1" x14ac:dyDescent="0.45">
      <c r="A20" s="75" t="s">
        <v>23</v>
      </c>
      <c r="B20" s="11" t="s">
        <v>24</v>
      </c>
      <c r="C20" s="12"/>
      <c r="D20" s="12">
        <v>336220536</v>
      </c>
      <c r="E20" s="12">
        <f>'GAW-4-4 PSE Forecast'!C18*1000</f>
        <v>278070311.162</v>
      </c>
      <c r="F20" s="12"/>
      <c r="G20" s="12"/>
      <c r="H20" s="16">
        <v>1180</v>
      </c>
      <c r="I20" s="11">
        <f>'GAW-4-4 PSE Forecast'!I18</f>
        <v>1078</v>
      </c>
      <c r="J20" s="12"/>
      <c r="K20" s="12"/>
      <c r="L20" s="12">
        <f>D20/H20*12</f>
        <v>3419191.8915254236</v>
      </c>
      <c r="M20" s="76">
        <f>E20/I20*12</f>
        <v>3095402.3505974025</v>
      </c>
      <c r="N20" s="12"/>
      <c r="O20" s="6"/>
      <c r="P20" s="1"/>
      <c r="Q20" s="1"/>
      <c r="R20" s="1">
        <f t="shared" si="8"/>
        <v>0</v>
      </c>
      <c r="S20" s="1">
        <f>'GAW-4-4 PSE Forecast'!J18/12</f>
        <v>89.019133937562955</v>
      </c>
      <c r="T20" s="1">
        <f t="shared" si="9"/>
        <v>0</v>
      </c>
      <c r="U20" s="1"/>
      <c r="V20" s="1"/>
      <c r="W20" s="1"/>
      <c r="X20" s="1">
        <f t="shared" si="3"/>
        <v>0</v>
      </c>
      <c r="Y20" s="1">
        <f>'GAW-4-4 PSE Forecast'!K18/12</f>
        <v>89.019133937562955</v>
      </c>
      <c r="Z20" s="1">
        <f t="shared" si="4"/>
        <v>0</v>
      </c>
      <c r="AA20" s="1"/>
      <c r="AB20" s="1">
        <f>'GAW-4-4 PSE Forecast'!E18*1000</f>
        <v>289426000</v>
      </c>
      <c r="AC20" s="7">
        <f t="shared" si="5"/>
        <v>-289426000</v>
      </c>
    </row>
    <row r="21" spans="1:29" s="11" customFormat="1" hidden="1" x14ac:dyDescent="0.45">
      <c r="A21" s="78">
        <v>5</v>
      </c>
      <c r="B21" s="9" t="s">
        <v>25</v>
      </c>
      <c r="C21" s="10">
        <v>6929803</v>
      </c>
      <c r="D21" s="10">
        <v>7170066</v>
      </c>
      <c r="E21" s="12">
        <f>'GAW-4-4 PSE Forecast'!C19*1000</f>
        <v>7372337.2879022108</v>
      </c>
      <c r="F21" s="12"/>
      <c r="G21" s="10">
        <v>96</v>
      </c>
      <c r="H21" s="10">
        <v>96</v>
      </c>
      <c r="I21" s="11">
        <f>'GAW-4-4 PSE Forecast'!I19</f>
        <v>96</v>
      </c>
      <c r="J21" s="12"/>
      <c r="K21" s="12">
        <f>C21/G21*12</f>
        <v>866225.375</v>
      </c>
      <c r="L21" s="12">
        <f>D21/H21*12</f>
        <v>896258.25</v>
      </c>
      <c r="M21" s="76">
        <f>E21/I21*12</f>
        <v>921542.16098777624</v>
      </c>
      <c r="N21" s="12"/>
      <c r="O21" s="6">
        <f t="shared" si="6"/>
        <v>1.5263526313752829E-2</v>
      </c>
      <c r="P21" s="1">
        <f t="shared" si="7"/>
        <v>952244.1285012248</v>
      </c>
      <c r="Q21" s="1"/>
      <c r="R21" s="1">
        <f t="shared" si="8"/>
        <v>952244.1285012248</v>
      </c>
      <c r="S21" s="1">
        <f>'GAW-4-4 PSE Forecast'!J19/12</f>
        <v>0</v>
      </c>
      <c r="T21" s="1">
        <f t="shared" si="9"/>
        <v>0</v>
      </c>
      <c r="U21" s="1"/>
      <c r="V21" s="1">
        <f t="shared" si="10"/>
        <v>966778.73181371985</v>
      </c>
      <c r="W21" s="1"/>
      <c r="X21" s="1">
        <f t="shared" si="3"/>
        <v>966778.73181371985</v>
      </c>
      <c r="Y21" s="1">
        <f>'GAW-4-4 PSE Forecast'!K19/12</f>
        <v>0</v>
      </c>
      <c r="Z21" s="1">
        <f t="shared" si="4"/>
        <v>0</v>
      </c>
      <c r="AA21" s="1"/>
      <c r="AB21" s="1">
        <f>'GAW-4-4 PSE Forecast'!E19*1000</f>
        <v>7521000</v>
      </c>
      <c r="AC21" s="7">
        <f t="shared" si="5"/>
        <v>-7521000</v>
      </c>
    </row>
    <row r="22" spans="1:29" x14ac:dyDescent="0.45">
      <c r="A22" s="73"/>
      <c r="B22" s="11" t="s">
        <v>33</v>
      </c>
      <c r="C22" s="12">
        <f>SUM(C9:C21)</f>
        <v>22060733038</v>
      </c>
      <c r="D22" s="12">
        <f>SUM(D9:D21)</f>
        <v>22798285631</v>
      </c>
      <c r="E22" s="12">
        <f>SUM(E9:E21)</f>
        <v>22918455706.883663</v>
      </c>
      <c r="F22" s="12"/>
      <c r="G22" s="11"/>
      <c r="H22" s="12"/>
      <c r="I22" s="11"/>
      <c r="J22" s="11"/>
      <c r="K22" s="11"/>
      <c r="L22" s="11"/>
      <c r="M22" s="74"/>
    </row>
    <row r="23" spans="1:29" x14ac:dyDescent="0.45">
      <c r="A23" s="79"/>
      <c r="B23" s="31"/>
      <c r="C23" s="31"/>
      <c r="D23" s="30"/>
      <c r="E23" s="31"/>
      <c r="F23" s="31"/>
      <c r="G23" s="31"/>
      <c r="H23" s="30"/>
      <c r="I23" s="31"/>
      <c r="J23" s="31"/>
      <c r="K23" s="31"/>
      <c r="L23" s="31"/>
      <c r="M23" s="80"/>
    </row>
    <row r="24" spans="1:29" s="8" customFormat="1" hidden="1" x14ac:dyDescent="0.45">
      <c r="A24" s="4" t="s">
        <v>19</v>
      </c>
      <c r="B24" t="s">
        <v>20</v>
      </c>
      <c r="C24"/>
      <c r="D24" s="1"/>
      <c r="E24"/>
      <c r="F24"/>
      <c r="G24"/>
      <c r="H24" s="1"/>
    </row>
    <row r="25" spans="1:29" s="8" customFormat="1" x14ac:dyDescent="0.45">
      <c r="A25" s="4"/>
      <c r="B25"/>
      <c r="C25"/>
      <c r="D25" s="1"/>
      <c r="E25"/>
      <c r="F25"/>
      <c r="G25"/>
      <c r="H25" s="1"/>
    </row>
    <row r="26" spans="1:29" s="8" customFormat="1" x14ac:dyDescent="0.45">
      <c r="A26" s="4"/>
      <c r="B26"/>
      <c r="C26"/>
      <c r="D26" s="1"/>
      <c r="E26"/>
      <c r="F26"/>
      <c r="G26"/>
      <c r="H26" s="1"/>
    </row>
    <row r="27" spans="1:29" s="8" customFormat="1" ht="15" customHeight="1" x14ac:dyDescent="0.45">
      <c r="A27" s="81"/>
      <c r="B27" s="82"/>
      <c r="C27" s="82"/>
      <c r="D27" s="82"/>
      <c r="E27" s="82"/>
      <c r="F27" s="82"/>
      <c r="G27" s="82"/>
      <c r="H27" s="82"/>
      <c r="I27" s="83"/>
    </row>
    <row r="28" spans="1:29" x14ac:dyDescent="0.45">
      <c r="A28" s="73"/>
      <c r="B28" s="11"/>
      <c r="C28" s="119" t="s">
        <v>122</v>
      </c>
      <c r="D28" s="119"/>
      <c r="E28" s="119"/>
      <c r="F28" s="119"/>
      <c r="G28" s="119"/>
      <c r="H28" s="119"/>
      <c r="I28" s="127"/>
    </row>
    <row r="29" spans="1:29" x14ac:dyDescent="0.45">
      <c r="A29" s="73"/>
      <c r="B29" s="11"/>
      <c r="C29" s="98" t="s">
        <v>40</v>
      </c>
      <c r="D29" s="98" t="s">
        <v>60</v>
      </c>
      <c r="E29" s="98"/>
      <c r="F29" s="11"/>
      <c r="G29" s="11"/>
      <c r="H29" s="12"/>
      <c r="I29" s="74"/>
    </row>
    <row r="30" spans="1:29" x14ac:dyDescent="0.45">
      <c r="A30" s="73"/>
      <c r="B30" s="11"/>
      <c r="C30" s="98" t="s">
        <v>41</v>
      </c>
      <c r="D30" s="98" t="s">
        <v>63</v>
      </c>
      <c r="E30" s="98"/>
      <c r="F30" s="11"/>
      <c r="G30" s="11"/>
      <c r="H30" s="12"/>
      <c r="I30" s="74"/>
    </row>
    <row r="31" spans="1:29" x14ac:dyDescent="0.45">
      <c r="A31" s="73"/>
      <c r="B31" s="11"/>
      <c r="C31" s="98" t="s">
        <v>36</v>
      </c>
      <c r="D31" s="98" t="s">
        <v>37</v>
      </c>
      <c r="E31" s="98" t="s">
        <v>64</v>
      </c>
      <c r="F31" s="11"/>
      <c r="G31" s="98" t="s">
        <v>65</v>
      </c>
      <c r="H31" s="98"/>
      <c r="I31" s="101" t="s">
        <v>46</v>
      </c>
    </row>
    <row r="32" spans="1:29" x14ac:dyDescent="0.45">
      <c r="A32" s="73"/>
      <c r="B32" s="11"/>
      <c r="C32" s="98" t="s">
        <v>52</v>
      </c>
      <c r="D32" s="98" t="s">
        <v>38</v>
      </c>
      <c r="E32" s="98" t="s">
        <v>61</v>
      </c>
      <c r="F32" s="11"/>
      <c r="G32" s="98" t="s">
        <v>61</v>
      </c>
      <c r="H32" s="98" t="s">
        <v>69</v>
      </c>
      <c r="I32" s="101" t="s">
        <v>66</v>
      </c>
    </row>
    <row r="33" spans="1:11" x14ac:dyDescent="0.45">
      <c r="A33" s="126" t="s">
        <v>134</v>
      </c>
      <c r="B33" s="119"/>
      <c r="C33" s="99" t="s">
        <v>53</v>
      </c>
      <c r="D33" s="99" t="s">
        <v>39</v>
      </c>
      <c r="E33" s="99" t="s">
        <v>62</v>
      </c>
      <c r="F33" s="31"/>
      <c r="G33" s="99" t="s">
        <v>62</v>
      </c>
      <c r="H33" s="99" t="s">
        <v>70</v>
      </c>
      <c r="I33" s="102" t="s">
        <v>62</v>
      </c>
    </row>
    <row r="34" spans="1:11" x14ac:dyDescent="0.45">
      <c r="A34" s="73"/>
      <c r="B34" s="11"/>
      <c r="C34" s="11"/>
      <c r="D34" s="11"/>
      <c r="E34" s="11"/>
      <c r="F34" s="11"/>
      <c r="G34" s="11"/>
      <c r="H34" s="11"/>
      <c r="I34" s="74"/>
    </row>
    <row r="35" spans="1:11" x14ac:dyDescent="0.45">
      <c r="A35" s="75" t="s">
        <v>6</v>
      </c>
      <c r="B35" s="11" t="s">
        <v>7</v>
      </c>
      <c r="C35" s="13">
        <f>(L9/K9)^(1/2.25)-1</f>
        <v>-5.5740440081712972E-3</v>
      </c>
      <c r="D35" s="12">
        <f>+L9*((1+C35)^4)</f>
        <v>10084.506624188458</v>
      </c>
      <c r="E35" s="12">
        <f>31589000/('GAW-4-4 PSE Forecast'!J7/12)</f>
        <v>29.116882081420624</v>
      </c>
      <c r="F35" s="11"/>
      <c r="G35" s="12">
        <f>D35+E35</f>
        <v>10113.623506269878</v>
      </c>
      <c r="H35" s="12">
        <f>'GAW-4-4 PSE Forecast'!J7/12</f>
        <v>1084903.25</v>
      </c>
      <c r="I35" s="76">
        <f>G35*H35</f>
        <v>10972303011.228586</v>
      </c>
    </row>
    <row r="36" spans="1:11" x14ac:dyDescent="0.45">
      <c r="A36" s="75">
        <v>29</v>
      </c>
      <c r="B36" s="11" t="s">
        <v>12</v>
      </c>
      <c r="C36" s="13"/>
      <c r="D36" s="12">
        <f>M13</f>
        <v>23245.691703609882</v>
      </c>
      <c r="E36" s="12"/>
      <c r="F36" s="11"/>
      <c r="G36" s="12">
        <f>D36+E36</f>
        <v>23245.691703609882</v>
      </c>
      <c r="H36" s="12">
        <f>'GAW-4-4 PSE Forecast'!J11/12</f>
        <v>661.5</v>
      </c>
      <c r="I36" s="76">
        <f>G36*H36</f>
        <v>15377025.061937938</v>
      </c>
    </row>
    <row r="37" spans="1:11" x14ac:dyDescent="0.45">
      <c r="A37" s="77">
        <v>46</v>
      </c>
      <c r="B37" s="14" t="s">
        <v>17</v>
      </c>
      <c r="C37" s="13"/>
      <c r="D37" s="12">
        <f>M17</f>
        <v>16801675.166666668</v>
      </c>
      <c r="E37" s="12"/>
      <c r="F37" s="11"/>
      <c r="G37" s="12">
        <f>D37+E37</f>
        <v>16801675.166666668</v>
      </c>
      <c r="H37" s="12">
        <f>'GAW-4-4 PSE Forecast'!J15/12</f>
        <v>6</v>
      </c>
      <c r="I37" s="76">
        <f>G37*H37</f>
        <v>100810051</v>
      </c>
    </row>
    <row r="38" spans="1:11" x14ac:dyDescent="0.45">
      <c r="A38" s="79"/>
      <c r="B38" s="31"/>
      <c r="C38" s="31"/>
      <c r="D38" s="30"/>
      <c r="E38" s="31"/>
      <c r="F38" s="31"/>
      <c r="G38" s="31"/>
      <c r="H38" s="30"/>
      <c r="I38" s="80"/>
    </row>
    <row r="40" spans="1:11" x14ac:dyDescent="0.45">
      <c r="A40" s="84"/>
      <c r="B40" s="85"/>
      <c r="C40" s="85"/>
      <c r="D40" s="86"/>
      <c r="E40" s="85"/>
      <c r="F40" s="85"/>
      <c r="G40" s="85"/>
      <c r="H40" s="86"/>
      <c r="I40" s="85"/>
      <c r="J40" s="85"/>
      <c r="K40" s="87"/>
    </row>
    <row r="41" spans="1:11" x14ac:dyDescent="0.45">
      <c r="A41" s="73"/>
      <c r="B41" s="11"/>
      <c r="C41" s="119" t="s">
        <v>123</v>
      </c>
      <c r="D41" s="119"/>
      <c r="E41" s="119"/>
      <c r="F41" s="119"/>
      <c r="G41" s="119"/>
      <c r="H41" s="119"/>
      <c r="I41" s="119"/>
      <c r="J41" s="119"/>
      <c r="K41" s="127"/>
    </row>
    <row r="42" spans="1:11" x14ac:dyDescent="0.45">
      <c r="A42" s="73"/>
      <c r="B42" s="11"/>
      <c r="C42" s="98" t="s">
        <v>60</v>
      </c>
      <c r="D42" s="12"/>
      <c r="E42" s="11"/>
      <c r="F42" s="11"/>
      <c r="G42" s="11"/>
      <c r="H42" s="12"/>
      <c r="I42" s="11"/>
      <c r="J42" s="11"/>
      <c r="K42" s="74"/>
    </row>
    <row r="43" spans="1:11" x14ac:dyDescent="0.45">
      <c r="A43" s="73"/>
      <c r="B43" s="11"/>
      <c r="C43" s="98" t="s">
        <v>67</v>
      </c>
      <c r="D43" s="20"/>
      <c r="E43" s="20"/>
      <c r="F43" s="11"/>
      <c r="G43" s="11"/>
      <c r="H43" s="12"/>
      <c r="I43" s="11"/>
      <c r="J43" s="11"/>
      <c r="K43" s="74"/>
    </row>
    <row r="44" spans="1:11" x14ac:dyDescent="0.45">
      <c r="A44" s="73"/>
      <c r="B44" s="11"/>
      <c r="C44" s="98" t="s">
        <v>68</v>
      </c>
      <c r="D44" s="98"/>
      <c r="E44" s="98"/>
      <c r="F44" s="11"/>
      <c r="G44" s="98"/>
      <c r="H44" s="98" t="s">
        <v>46</v>
      </c>
      <c r="I44" s="11"/>
      <c r="J44" s="11"/>
      <c r="K44" s="74"/>
    </row>
    <row r="45" spans="1:11" x14ac:dyDescent="0.45">
      <c r="A45" s="73"/>
      <c r="B45" s="11"/>
      <c r="C45" s="98" t="s">
        <v>1</v>
      </c>
      <c r="D45" s="98" t="s">
        <v>64</v>
      </c>
      <c r="E45" s="98" t="s">
        <v>65</v>
      </c>
      <c r="F45" s="11"/>
      <c r="G45" s="11"/>
      <c r="H45" s="98"/>
      <c r="I45" s="98" t="s">
        <v>48</v>
      </c>
      <c r="J45" s="11"/>
      <c r="K45" s="101" t="s">
        <v>113</v>
      </c>
    </row>
    <row r="46" spans="1:11" x14ac:dyDescent="0.45">
      <c r="A46" s="73"/>
      <c r="B46" s="11"/>
      <c r="C46" s="98" t="s">
        <v>43</v>
      </c>
      <c r="D46" s="98" t="s">
        <v>61</v>
      </c>
      <c r="E46" s="98" t="s">
        <v>61</v>
      </c>
      <c r="F46" s="11"/>
      <c r="G46" s="98" t="s">
        <v>69</v>
      </c>
      <c r="H46" s="98" t="s">
        <v>66</v>
      </c>
      <c r="I46" s="98" t="s">
        <v>47</v>
      </c>
      <c r="J46" s="11"/>
      <c r="K46" s="101" t="s">
        <v>114</v>
      </c>
    </row>
    <row r="47" spans="1:11" x14ac:dyDescent="0.45">
      <c r="A47" s="126" t="s">
        <v>134</v>
      </c>
      <c r="B47" s="119"/>
      <c r="C47" s="99" t="s">
        <v>44</v>
      </c>
      <c r="D47" s="99" t="s">
        <v>45</v>
      </c>
      <c r="E47" s="99" t="s">
        <v>45</v>
      </c>
      <c r="F47" s="31"/>
      <c r="G47" s="99" t="s">
        <v>70</v>
      </c>
      <c r="H47" s="99" t="s">
        <v>45</v>
      </c>
      <c r="I47" s="99" t="s">
        <v>1</v>
      </c>
      <c r="J47" s="31"/>
      <c r="K47" s="102" t="s">
        <v>49</v>
      </c>
    </row>
    <row r="48" spans="1:11" x14ac:dyDescent="0.45">
      <c r="A48" s="75"/>
      <c r="B48" s="11"/>
      <c r="C48" s="11"/>
      <c r="D48" s="98"/>
      <c r="E48" s="98"/>
      <c r="F48" s="11"/>
      <c r="G48" s="11"/>
      <c r="H48" s="12"/>
      <c r="I48" s="11"/>
      <c r="J48" s="11"/>
      <c r="K48" s="74"/>
    </row>
    <row r="49" spans="1:11" x14ac:dyDescent="0.45">
      <c r="A49" s="75" t="s">
        <v>6</v>
      </c>
      <c r="B49" s="11" t="s">
        <v>7</v>
      </c>
      <c r="C49" s="12">
        <f>D35*(1+C35)</f>
        <v>10028.295140464537</v>
      </c>
      <c r="D49" s="12">
        <f>+(31589000/1.5)/('GAW-4-4 PSE Forecast'!K7/12)+E35</f>
        <v>48.280080780781219</v>
      </c>
      <c r="E49" s="12">
        <f>C49+D49</f>
        <v>10076.575221245319</v>
      </c>
      <c r="F49" s="11"/>
      <c r="G49" s="12">
        <f>'GAW-4-4 PSE Forecast'!K7/12</f>
        <v>1098946.6666666667</v>
      </c>
      <c r="H49" s="12">
        <f>E49*G49</f>
        <v>11073618750.803473</v>
      </c>
      <c r="I49" s="12">
        <f>'GAW-4-4 PSE Forecast'!E7*1000</f>
        <v>10846482000</v>
      </c>
      <c r="J49" s="11"/>
      <c r="K49" s="88">
        <f>H49-I49</f>
        <v>227136750.80347252</v>
      </c>
    </row>
    <row r="50" spans="1:11" x14ac:dyDescent="0.45">
      <c r="A50" s="75">
        <v>29</v>
      </c>
      <c r="B50" s="11" t="s">
        <v>12</v>
      </c>
      <c r="C50" s="12">
        <f>D36*(1+C36)</f>
        <v>23245.691703609882</v>
      </c>
      <c r="D50" s="12"/>
      <c r="E50" s="12">
        <f>C50+D50</f>
        <v>23245.691703609882</v>
      </c>
      <c r="F50" s="11"/>
      <c r="G50" s="12">
        <f>'GAW-4-4 PSE Forecast'!K11/12</f>
        <v>668.25</v>
      </c>
      <c r="H50" s="12">
        <f>E50*G50</f>
        <v>15533933.480937304</v>
      </c>
      <c r="I50" s="12">
        <f>'GAW-4-4 PSE Forecast'!E11*1000</f>
        <v>14668000</v>
      </c>
      <c r="J50" s="11"/>
      <c r="K50" s="88">
        <f>H50-I50</f>
        <v>865933.48093730398</v>
      </c>
    </row>
    <row r="51" spans="1:11" x14ac:dyDescent="0.45">
      <c r="A51" s="77">
        <v>46</v>
      </c>
      <c r="B51" s="14" t="s">
        <v>17</v>
      </c>
      <c r="C51" s="12">
        <f>D37*(1+C37)</f>
        <v>16801675.166666668</v>
      </c>
      <c r="D51" s="12"/>
      <c r="E51" s="12">
        <f>C51+D51</f>
        <v>16801675.166666668</v>
      </c>
      <c r="F51" s="11"/>
      <c r="G51" s="12">
        <f>'GAW-4-4 PSE Forecast'!K15/12</f>
        <v>6</v>
      </c>
      <c r="H51" s="12">
        <f>E51*G51</f>
        <v>100810051</v>
      </c>
      <c r="I51" s="12">
        <f>'GAW-4-4 PSE Forecast'!E15*1000</f>
        <v>78251000</v>
      </c>
      <c r="J51" s="11"/>
      <c r="K51" s="88">
        <f>H51-I51</f>
        <v>22559051</v>
      </c>
    </row>
    <row r="52" spans="1:11" x14ac:dyDescent="0.45">
      <c r="A52" s="79"/>
      <c r="B52" s="31"/>
      <c r="C52" s="31"/>
      <c r="D52" s="30"/>
      <c r="E52" s="31"/>
      <c r="F52" s="31"/>
      <c r="G52" s="31"/>
      <c r="H52" s="30"/>
      <c r="I52" s="31"/>
      <c r="J52" s="31"/>
      <c r="K52" s="80"/>
    </row>
    <row r="53" spans="1:11" x14ac:dyDescent="0.45">
      <c r="A53" s="73"/>
      <c r="B53" s="11"/>
      <c r="C53" s="11"/>
      <c r="D53" s="12"/>
      <c r="E53" s="11"/>
      <c r="F53" s="11"/>
      <c r="G53" s="11"/>
      <c r="H53" s="12"/>
      <c r="I53" s="11"/>
      <c r="J53" s="11"/>
      <c r="K53" s="74"/>
    </row>
    <row r="54" spans="1:11" x14ac:dyDescent="0.45">
      <c r="A54" s="73"/>
      <c r="B54" s="11"/>
      <c r="C54" s="11"/>
      <c r="D54" s="12"/>
      <c r="E54" s="11"/>
      <c r="F54" s="11"/>
      <c r="G54" s="11"/>
      <c r="H54" s="12"/>
      <c r="I54" s="11"/>
      <c r="J54" s="11"/>
      <c r="K54" s="74"/>
    </row>
    <row r="55" spans="1:11" x14ac:dyDescent="0.45">
      <c r="A55" s="73" t="s">
        <v>126</v>
      </c>
      <c r="B55" s="11"/>
      <c r="C55" s="11"/>
      <c r="D55" s="12"/>
      <c r="E55" s="11"/>
      <c r="F55" s="11"/>
      <c r="G55" s="11"/>
      <c r="H55" s="12"/>
      <c r="I55" s="11"/>
      <c r="J55" s="11"/>
      <c r="K55" s="74"/>
    </row>
    <row r="56" spans="1:11" x14ac:dyDescent="0.45">
      <c r="A56" s="79" t="s">
        <v>127</v>
      </c>
      <c r="B56" s="31"/>
      <c r="C56" s="31"/>
      <c r="D56" s="30"/>
      <c r="E56" s="31"/>
      <c r="F56" s="31"/>
      <c r="G56" s="31"/>
      <c r="H56" s="30"/>
      <c r="I56" s="31"/>
      <c r="J56" s="31"/>
      <c r="K56" s="80"/>
    </row>
  </sheetData>
  <mergeCells count="11">
    <mergeCell ref="AB3:AC3"/>
    <mergeCell ref="G4:I4"/>
    <mergeCell ref="K4:M4"/>
    <mergeCell ref="C28:I28"/>
    <mergeCell ref="C41:K41"/>
    <mergeCell ref="A1:S1"/>
    <mergeCell ref="A2:S2"/>
    <mergeCell ref="A7:B7"/>
    <mergeCell ref="A33:B33"/>
    <mergeCell ref="A47:B47"/>
    <mergeCell ref="C4:E4"/>
  </mergeCells>
  <printOptions horizontalCentered="1"/>
  <pageMargins left="0.7" right="0.7" top="0.75" bottom="0.75" header="0.3" footer="0.3"/>
  <pageSetup scale="5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H27" sqref="H27"/>
    </sheetView>
  </sheetViews>
  <sheetFormatPr defaultColWidth="8.73046875" defaultRowHeight="13.9" x14ac:dyDescent="0.4"/>
  <cols>
    <col min="1" max="1" width="3.33203125" style="40" customWidth="1"/>
    <col min="2" max="2" width="38.73046875" style="40" customWidth="1"/>
    <col min="3" max="3" width="2.19921875" style="40" customWidth="1"/>
    <col min="4" max="4" width="11.796875" style="40" customWidth="1"/>
    <col min="5" max="5" width="12.59765625" style="40" customWidth="1"/>
    <col min="6" max="6" width="12.73046875" style="40" customWidth="1"/>
    <col min="7" max="7" width="11.33203125" style="40" bestFit="1" customWidth="1"/>
    <col min="8" max="16384" width="8.73046875" style="40"/>
  </cols>
  <sheetData>
    <row r="1" spans="1:7" x14ac:dyDescent="0.4">
      <c r="A1" s="114" t="s">
        <v>128</v>
      </c>
      <c r="B1" s="114"/>
      <c r="C1" s="114"/>
      <c r="D1" s="114"/>
      <c r="E1" s="114"/>
      <c r="F1" s="114"/>
      <c r="G1" s="114"/>
    </row>
    <row r="2" spans="1:7" x14ac:dyDescent="0.4">
      <c r="A2" s="115" t="s">
        <v>156</v>
      </c>
      <c r="B2" s="115"/>
      <c r="C2" s="115"/>
      <c r="D2" s="115"/>
      <c r="E2" s="115"/>
      <c r="F2" s="115"/>
      <c r="G2" s="115"/>
    </row>
    <row r="3" spans="1:7" x14ac:dyDescent="0.4">
      <c r="A3" s="47"/>
      <c r="B3" s="47"/>
      <c r="C3" s="47"/>
      <c r="D3" s="42" t="s">
        <v>136</v>
      </c>
      <c r="E3" s="42" t="s">
        <v>137</v>
      </c>
      <c r="F3" s="42" t="s">
        <v>137</v>
      </c>
      <c r="G3" s="42" t="s">
        <v>137</v>
      </c>
    </row>
    <row r="4" spans="1:7" x14ac:dyDescent="0.4">
      <c r="A4" s="47"/>
      <c r="B4" s="47"/>
      <c r="C4" s="47"/>
      <c r="D4" s="42" t="s">
        <v>138</v>
      </c>
      <c r="E4" s="42" t="s">
        <v>139</v>
      </c>
      <c r="F4" s="42" t="s">
        <v>140</v>
      </c>
      <c r="G4" s="42" t="s">
        <v>141</v>
      </c>
    </row>
    <row r="5" spans="1:7" x14ac:dyDescent="0.4">
      <c r="A5" s="47"/>
      <c r="B5" s="47"/>
      <c r="C5" s="47"/>
      <c r="D5" s="43" t="s">
        <v>142</v>
      </c>
      <c r="E5" s="43" t="s">
        <v>143</v>
      </c>
      <c r="F5" s="43" t="s">
        <v>144</v>
      </c>
      <c r="G5" s="43" t="s">
        <v>145</v>
      </c>
    </row>
    <row r="6" spans="1:7" x14ac:dyDescent="0.4">
      <c r="D6" s="41"/>
      <c r="E6" s="41"/>
      <c r="F6" s="41"/>
      <c r="G6" s="41"/>
    </row>
    <row r="7" spans="1:7" x14ac:dyDescent="0.4">
      <c r="A7" s="40" t="s">
        <v>149</v>
      </c>
      <c r="D7" s="105">
        <f>E7</f>
        <v>42.264000000000003</v>
      </c>
      <c r="E7" s="105">
        <v>42.264000000000003</v>
      </c>
      <c r="F7" s="105">
        <v>42.358899999999998</v>
      </c>
      <c r="G7" s="105">
        <v>40.3001</v>
      </c>
    </row>
    <row r="8" spans="1:7" x14ac:dyDescent="0.4">
      <c r="B8" s="40" t="s">
        <v>150</v>
      </c>
      <c r="D8" s="106">
        <f>E8</f>
        <v>7.8104000000000007E-2</v>
      </c>
      <c r="E8" s="107">
        <v>7.8104000000000007E-2</v>
      </c>
      <c r="F8" s="108">
        <f>E8</f>
        <v>7.8104000000000007E-2</v>
      </c>
      <c r="G8" s="106">
        <f>E8</f>
        <v>7.8104000000000007E-2</v>
      </c>
    </row>
    <row r="9" spans="1:7" x14ac:dyDescent="0.4">
      <c r="B9" s="40" t="s">
        <v>151</v>
      </c>
      <c r="D9" s="105">
        <f>D7*(D8/(1-D8))+D7</f>
        <v>45.844650589654364</v>
      </c>
      <c r="E9" s="105">
        <f>E7*(E8/(1-E8))+E7</f>
        <v>45.844650589654364</v>
      </c>
      <c r="F9" s="105">
        <f>F7*(F8/(1-F8))+F7</f>
        <v>45.947590617596774</v>
      </c>
      <c r="G9" s="105">
        <f>G7*(G8/(1-G8))+G7</f>
        <v>43.714366913404547</v>
      </c>
    </row>
    <row r="11" spans="1:7" s="109" customFormat="1" x14ac:dyDescent="0.4">
      <c r="A11" s="109" t="s">
        <v>152</v>
      </c>
      <c r="D11" s="110">
        <v>137843.087</v>
      </c>
      <c r="E11" s="110">
        <v>250561.73499999999</v>
      </c>
      <c r="F11" s="110">
        <v>246445.69500000001</v>
      </c>
      <c r="G11" s="110">
        <v>297361.10700000002</v>
      </c>
    </row>
    <row r="13" spans="1:7" x14ac:dyDescent="0.4">
      <c r="A13" s="40" t="s">
        <v>153</v>
      </c>
      <c r="D13" s="111">
        <f>+D9*D11</f>
        <v>6319368.1597143281</v>
      </c>
      <c r="E13" s="111">
        <f>+E9*E11</f>
        <v>11486915.19221257</v>
      </c>
      <c r="F13" s="111">
        <f>+F9*F11</f>
        <v>11323585.903329117</v>
      </c>
      <c r="G13" s="111">
        <f>+G9*G11</f>
        <v>12998952.53717415</v>
      </c>
    </row>
    <row r="14" spans="1:7" x14ac:dyDescent="0.4">
      <c r="A14" s="46"/>
      <c r="B14" s="46"/>
      <c r="C14" s="46"/>
      <c r="D14" s="46"/>
      <c r="E14" s="46"/>
      <c r="F14" s="46"/>
      <c r="G14" s="46"/>
    </row>
    <row r="15" spans="1:7" x14ac:dyDescent="0.4">
      <c r="A15" s="40" t="s">
        <v>27</v>
      </c>
      <c r="B15" s="40" t="s">
        <v>154</v>
      </c>
    </row>
    <row r="16" spans="1:7" x14ac:dyDescent="0.4">
      <c r="A16" s="40" t="s">
        <v>26</v>
      </c>
      <c r="B16" s="40" t="s">
        <v>155</v>
      </c>
    </row>
  </sheetData>
  <mergeCells count="2">
    <mergeCell ref="A1:G1"/>
    <mergeCell ref="A2:G2"/>
  </mergeCells>
  <pageMargins left="0.7" right="0.7" top="0.75" bottom="0.75" header="0.3" footer="0.3"/>
  <pageSetup scale="98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H27" sqref="H27"/>
    </sheetView>
  </sheetViews>
  <sheetFormatPr defaultColWidth="8.73046875" defaultRowHeight="13.9" x14ac:dyDescent="0.4"/>
  <cols>
    <col min="1" max="1" width="2.33203125" style="40" customWidth="1"/>
    <col min="2" max="2" width="15.46484375" style="40" customWidth="1"/>
    <col min="3" max="4" width="13.9296875" style="40" bestFit="1" customWidth="1"/>
    <col min="5" max="5" width="11.46484375" style="40" customWidth="1"/>
    <col min="6" max="6" width="8.73046875" style="40"/>
    <col min="7" max="7" width="11.33203125" style="40" bestFit="1" customWidth="1"/>
    <col min="8" max="16384" width="8.73046875" style="40"/>
  </cols>
  <sheetData>
    <row r="2" spans="1:5" ht="15" x14ac:dyDescent="0.4">
      <c r="A2" s="117" t="s">
        <v>128</v>
      </c>
      <c r="B2" s="117"/>
      <c r="C2" s="117"/>
      <c r="D2" s="117"/>
      <c r="E2" s="117"/>
    </row>
    <row r="3" spans="1:5" ht="15" x14ac:dyDescent="0.4">
      <c r="A3" s="116" t="s">
        <v>125</v>
      </c>
      <c r="B3" s="116"/>
      <c r="C3" s="116"/>
      <c r="D3" s="116"/>
      <c r="E3" s="116"/>
    </row>
    <row r="4" spans="1:5" x14ac:dyDescent="0.4">
      <c r="B4" s="41"/>
      <c r="C4" s="42"/>
      <c r="D4" s="42" t="s">
        <v>113</v>
      </c>
      <c r="E4" s="42"/>
    </row>
    <row r="5" spans="1:5" x14ac:dyDescent="0.4">
      <c r="B5" s="41"/>
      <c r="C5" s="43" t="s">
        <v>48</v>
      </c>
      <c r="D5" s="43" t="s">
        <v>114</v>
      </c>
      <c r="E5" s="43" t="s">
        <v>49</v>
      </c>
    </row>
    <row r="7" spans="1:5" x14ac:dyDescent="0.4">
      <c r="A7" s="44" t="s">
        <v>115</v>
      </c>
    </row>
    <row r="8" spans="1:5" x14ac:dyDescent="0.4">
      <c r="B8" s="41">
        <v>2022</v>
      </c>
      <c r="C8" s="45">
        <f>'GAW-5-4 Sch.7-Rev. @ Curr Rates'!D10</f>
        <v>1181367964</v>
      </c>
      <c r="D8" s="45">
        <f>'GAW-5-4 Sch.7-Rev. @ Curr Rates'!E10</f>
        <v>1192842642.6385703</v>
      </c>
      <c r="E8" s="45">
        <f>D8-C8</f>
        <v>11474678.638570309</v>
      </c>
    </row>
    <row r="9" spans="1:5" x14ac:dyDescent="0.4">
      <c r="B9" s="41">
        <v>2023</v>
      </c>
      <c r="C9" s="45">
        <f>'GAW-5-4 Sch.7-Rev. @ Curr Rates'!H10</f>
        <v>1181455600</v>
      </c>
      <c r="D9" s="45">
        <f>'GAW-5-4 Sch.7-Rev. @ Curr Rates'!I10</f>
        <v>1204127235.1213601</v>
      </c>
      <c r="E9" s="45">
        <f t="shared" ref="E9:E11" si="0">D9-C9</f>
        <v>22671635.121360064</v>
      </c>
    </row>
    <row r="10" spans="1:5" x14ac:dyDescent="0.4">
      <c r="B10" s="41">
        <v>2024</v>
      </c>
      <c r="C10" s="45">
        <f>'GAW-5-4 Sch.7-Rev. @ Curr Rates'!L10</f>
        <v>1193395425</v>
      </c>
      <c r="D10" s="45">
        <f>'GAW-5-4 Sch.7-Rev. @ Curr Rates'!M10</f>
        <v>1215587871.8098826</v>
      </c>
      <c r="E10" s="45">
        <f t="shared" si="0"/>
        <v>22192446.809882641</v>
      </c>
    </row>
    <row r="11" spans="1:5" x14ac:dyDescent="0.4">
      <c r="B11" s="41">
        <v>2025</v>
      </c>
      <c r="C11" s="45">
        <f>'GAW-5-4 Sch.7-Rev. @ Curr Rates'!P10</f>
        <v>1199531745</v>
      </c>
      <c r="D11" s="45">
        <f>'GAW-5-4 Sch.7-Rev. @ Curr Rates'!Q10</f>
        <v>1226675071.171324</v>
      </c>
      <c r="E11" s="45">
        <f t="shared" si="0"/>
        <v>27143326.171324015</v>
      </c>
    </row>
    <row r="12" spans="1:5" x14ac:dyDescent="0.4">
      <c r="B12" s="41"/>
    </row>
    <row r="13" spans="1:5" x14ac:dyDescent="0.4">
      <c r="A13" s="44" t="s">
        <v>116</v>
      </c>
      <c r="B13" s="41"/>
    </row>
    <row r="14" spans="1:5" x14ac:dyDescent="0.4">
      <c r="B14" s="41">
        <v>2022</v>
      </c>
      <c r="C14" s="45">
        <f>'GAW-5-5 Sch.29-Rev. @ Curr Rate'!F10</f>
        <v>1248001</v>
      </c>
      <c r="D14" s="45">
        <f>'GAW-5-5 Sch.29-Rev. @ Curr Rate'!G10</f>
        <v>1340197.8186981834</v>
      </c>
      <c r="E14" s="45">
        <f>D14-C14</f>
        <v>92196.818698183401</v>
      </c>
    </row>
    <row r="15" spans="1:5" x14ac:dyDescent="0.4">
      <c r="B15" s="41">
        <v>2023</v>
      </c>
      <c r="C15" s="45">
        <f>'GAW-5-5 Sch.29-Rev. @ Curr Rate'!J10</f>
        <v>1275277</v>
      </c>
      <c r="D15" s="45">
        <f>'GAW-5-5 Sch.29-Rev. @ Curr Rate'!K10</f>
        <v>1353914.0413379606</v>
      </c>
      <c r="E15" s="45">
        <f t="shared" ref="E15:E17" si="1">D15-C15</f>
        <v>78637.041337960633</v>
      </c>
    </row>
    <row r="16" spans="1:5" x14ac:dyDescent="0.4">
      <c r="B16" s="41">
        <v>2024</v>
      </c>
      <c r="C16" s="45">
        <f>'GAW-5-5 Sch.29-Rev. @ Curr Rate'!N10</f>
        <v>1285576</v>
      </c>
      <c r="D16" s="45">
        <f>'GAW-5-5 Sch.29-Rev. @ Curr Rate'!O10</f>
        <v>1367397.2612290985</v>
      </c>
      <c r="E16" s="45">
        <f t="shared" si="1"/>
        <v>81821.261229098542</v>
      </c>
    </row>
    <row r="17" spans="1:7" x14ac:dyDescent="0.4">
      <c r="B17" s="41">
        <v>2025</v>
      </c>
      <c r="C17" s="45">
        <f>'GAW-5-5 Sch.29-Rev. @ Curr Rate'!R10</f>
        <v>1286375</v>
      </c>
      <c r="D17" s="45">
        <f>'GAW-5-5 Sch.29-Rev. @ Curr Rate'!S10</f>
        <v>1380056.4673770408</v>
      </c>
      <c r="E17" s="45">
        <f t="shared" si="1"/>
        <v>93681.467377040768</v>
      </c>
    </row>
    <row r="18" spans="1:7" x14ac:dyDescent="0.4">
      <c r="B18" s="41"/>
    </row>
    <row r="19" spans="1:7" x14ac:dyDescent="0.4">
      <c r="A19" s="44" t="s">
        <v>117</v>
      </c>
      <c r="B19" s="41"/>
    </row>
    <row r="20" spans="1:7" x14ac:dyDescent="0.4">
      <c r="B20" s="41">
        <v>2022</v>
      </c>
      <c r="C20" s="45">
        <f>'GAW-5-6 Sch.46-Rev. @ Curr Rate'!E10</f>
        <v>5173244</v>
      </c>
      <c r="D20" s="45">
        <f>'GAW-5-6 Sch.46-Rev. @ Curr Rate'!F10</f>
        <v>6524364.5497479998</v>
      </c>
      <c r="E20" s="45">
        <f>D20-C20</f>
        <v>1351120.5497479998</v>
      </c>
    </row>
    <row r="21" spans="1:7" x14ac:dyDescent="0.4">
      <c r="B21" s="41">
        <v>2023</v>
      </c>
      <c r="C21" s="45">
        <f>'GAW-5-6 Sch.46-Rev. @ Curr Rate'!I10</f>
        <v>5123030</v>
      </c>
      <c r="D21" s="45">
        <f>'GAW-5-6 Sch.46-Rev. @ Curr Rate'!J10</f>
        <v>6524364.5497479998</v>
      </c>
      <c r="E21" s="45">
        <f t="shared" ref="E21:E23" si="2">D21-C21</f>
        <v>1401334.5497479998</v>
      </c>
    </row>
    <row r="22" spans="1:7" x14ac:dyDescent="0.4">
      <c r="B22" s="41">
        <v>2024</v>
      </c>
      <c r="C22" s="45">
        <f>'GAW-5-6 Sch.46-Rev. @ Curr Rate'!M10</f>
        <v>5077889</v>
      </c>
      <c r="D22" s="45">
        <f>'GAW-5-6 Sch.46-Rev. @ Curr Rate'!N10</f>
        <v>6524364.5497479998</v>
      </c>
      <c r="E22" s="45">
        <f t="shared" si="2"/>
        <v>1446475.5497479998</v>
      </c>
    </row>
    <row r="23" spans="1:7" x14ac:dyDescent="0.4">
      <c r="B23" s="41">
        <v>2025</v>
      </c>
      <c r="C23" s="45">
        <f>'GAW-5-6 Sch.46-Rev. @ Curr Rate'!Q10</f>
        <v>5005738</v>
      </c>
      <c r="D23" s="45">
        <f>'GAW-5-6 Sch.46-Rev. @ Curr Rate'!R10</f>
        <v>6524364.5497479998</v>
      </c>
      <c r="E23" s="45">
        <f t="shared" si="2"/>
        <v>1518626.5497479998</v>
      </c>
    </row>
    <row r="24" spans="1:7" x14ac:dyDescent="0.4">
      <c r="A24" s="46"/>
      <c r="B24" s="46"/>
      <c r="C24" s="46"/>
      <c r="D24" s="46"/>
      <c r="E24" s="46"/>
    </row>
    <row r="25" spans="1:7" x14ac:dyDescent="0.4">
      <c r="A25" s="47" t="s">
        <v>118</v>
      </c>
    </row>
    <row r="26" spans="1:7" x14ac:dyDescent="0.4">
      <c r="B26" s="41">
        <v>2022</v>
      </c>
      <c r="C26" s="45">
        <f>C8+C14+C20</f>
        <v>1187789209</v>
      </c>
      <c r="D26" s="45">
        <f>D8+D14+D20</f>
        <v>1200707205.0070164</v>
      </c>
      <c r="E26" s="45">
        <f>E8+E14+E20</f>
        <v>12917996.007016491</v>
      </c>
      <c r="G26" s="45"/>
    </row>
    <row r="27" spans="1:7" x14ac:dyDescent="0.4">
      <c r="B27" s="41">
        <v>2023</v>
      </c>
      <c r="C27" s="45">
        <f t="shared" ref="C27" si="3">C9+C15+C21</f>
        <v>1187853907</v>
      </c>
      <c r="D27" s="45">
        <f t="shared" ref="D27:E29" si="4">D9+D15+D21</f>
        <v>1212005513.712446</v>
      </c>
      <c r="E27" s="45">
        <f t="shared" si="4"/>
        <v>24151606.712446023</v>
      </c>
      <c r="G27" s="45"/>
    </row>
    <row r="28" spans="1:7" x14ac:dyDescent="0.4">
      <c r="B28" s="41">
        <v>2024</v>
      </c>
      <c r="C28" s="45">
        <f t="shared" ref="C28" si="5">C10+C16+C22</f>
        <v>1199758890</v>
      </c>
      <c r="D28" s="45">
        <f t="shared" si="4"/>
        <v>1223479633.6208596</v>
      </c>
      <c r="E28" s="45">
        <f t="shared" si="4"/>
        <v>23720743.620859738</v>
      </c>
      <c r="G28" s="45"/>
    </row>
    <row r="29" spans="1:7" x14ac:dyDescent="0.4">
      <c r="B29" s="41">
        <v>2025</v>
      </c>
      <c r="C29" s="45">
        <f t="shared" ref="C29" si="6">C11+C17+C23</f>
        <v>1205823858</v>
      </c>
      <c r="D29" s="45">
        <f t="shared" si="4"/>
        <v>1234579492.1884489</v>
      </c>
      <c r="E29" s="45">
        <f t="shared" si="4"/>
        <v>28755634.188449055</v>
      </c>
      <c r="G29" s="45"/>
    </row>
  </sheetData>
  <mergeCells count="2">
    <mergeCell ref="A3:E3"/>
    <mergeCell ref="A2:E2"/>
  </mergeCells>
  <printOptions horizontalCentered="1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H27" sqref="H27"/>
    </sheetView>
  </sheetViews>
  <sheetFormatPr defaultRowHeight="14.25" x14ac:dyDescent="0.45"/>
  <cols>
    <col min="1" max="1" width="2.33203125" customWidth="1"/>
    <col min="2" max="2" width="22.265625" customWidth="1"/>
    <col min="3" max="4" width="14.53125" bestFit="1" customWidth="1"/>
    <col min="5" max="5" width="12" bestFit="1" customWidth="1"/>
  </cols>
  <sheetData>
    <row r="1" spans="1:5" x14ac:dyDescent="0.45">
      <c r="A1" s="118" t="s">
        <v>128</v>
      </c>
      <c r="B1" s="118"/>
      <c r="C1" s="118"/>
      <c r="D1" s="118"/>
      <c r="E1" s="118"/>
    </row>
    <row r="2" spans="1:5" x14ac:dyDescent="0.45">
      <c r="A2" s="119" t="s">
        <v>129</v>
      </c>
      <c r="B2" s="119"/>
      <c r="C2" s="119"/>
      <c r="D2" s="119"/>
      <c r="E2" s="119"/>
    </row>
    <row r="3" spans="1:5" ht="15.75" x14ac:dyDescent="0.5">
      <c r="A3" s="89"/>
      <c r="B3" s="89"/>
      <c r="C3" s="120" t="s">
        <v>119</v>
      </c>
      <c r="D3" s="120"/>
      <c r="E3" s="120"/>
    </row>
    <row r="4" spans="1:5" x14ac:dyDescent="0.45">
      <c r="A4" s="11"/>
      <c r="B4" s="21"/>
      <c r="C4" s="38"/>
      <c r="D4" s="38" t="s">
        <v>113</v>
      </c>
      <c r="E4" s="38"/>
    </row>
    <row r="5" spans="1:5" x14ac:dyDescent="0.45">
      <c r="A5" s="119" t="s">
        <v>134</v>
      </c>
      <c r="B5" s="119"/>
      <c r="C5" s="19" t="s">
        <v>48</v>
      </c>
      <c r="D5" s="19" t="s">
        <v>114</v>
      </c>
      <c r="E5" s="19" t="s">
        <v>49</v>
      </c>
    </row>
    <row r="7" spans="1:5" x14ac:dyDescent="0.45">
      <c r="A7" s="23" t="s">
        <v>115</v>
      </c>
    </row>
    <row r="8" spans="1:5" x14ac:dyDescent="0.45">
      <c r="B8" s="28">
        <v>2022</v>
      </c>
      <c r="C8" s="1">
        <f>'GAW-4-3 PC -TAI KWH &amp; KW Adj.'!F14</f>
        <v>10857353000</v>
      </c>
      <c r="D8" s="1">
        <f>'GAW-4-3 PC -TAI KWH &amp; KW Adj.'!G14</f>
        <v>10972303011.228586</v>
      </c>
      <c r="E8" s="1">
        <f>D8-C8</f>
        <v>114950011.2285862</v>
      </c>
    </row>
    <row r="9" spans="1:5" x14ac:dyDescent="0.45">
      <c r="B9" s="28">
        <v>2023</v>
      </c>
      <c r="C9" s="1">
        <f>'GAW-4-3 PC -TAI KWH &amp; KW Adj.'!F15</f>
        <v>10846482000</v>
      </c>
      <c r="D9" s="1">
        <f>'GAW-4-3 PC -TAI KWH &amp; KW Adj.'!G15</f>
        <v>11073618750.803473</v>
      </c>
      <c r="E9" s="1">
        <f t="shared" ref="E9:E11" si="0">D9-C9</f>
        <v>227136750.80347252</v>
      </c>
    </row>
    <row r="10" spans="1:5" x14ac:dyDescent="0.45">
      <c r="B10" s="28">
        <v>2024</v>
      </c>
      <c r="C10" s="1">
        <f>'GAW-4-3 PC -TAI KWH &amp; KW Adj.'!F16</f>
        <v>10953273000</v>
      </c>
      <c r="D10" s="1">
        <f>'GAW-4-3 PC -TAI KWH &amp; KW Adj.'!G16</f>
        <v>11175608739.179325</v>
      </c>
      <c r="E10" s="1">
        <f t="shared" si="0"/>
        <v>222335739.1793251</v>
      </c>
    </row>
    <row r="11" spans="1:5" x14ac:dyDescent="0.45">
      <c r="B11" s="28">
        <v>2025</v>
      </c>
      <c r="C11" s="1">
        <f>'GAW-4-3 PC -TAI KWH &amp; KW Adj.'!F17</f>
        <v>11003417000</v>
      </c>
      <c r="D11" s="1">
        <f>'GAW-4-3 PC -TAI KWH &amp; KW Adj.'!G17</f>
        <v>11275386865.382496</v>
      </c>
      <c r="E11" s="1">
        <f t="shared" si="0"/>
        <v>271969865.38249588</v>
      </c>
    </row>
    <row r="12" spans="1:5" x14ac:dyDescent="0.45">
      <c r="B12" s="28"/>
      <c r="C12" s="1"/>
      <c r="D12" s="1"/>
      <c r="E12" s="1"/>
    </row>
    <row r="13" spans="1:5" x14ac:dyDescent="0.45">
      <c r="A13" s="23" t="s">
        <v>116</v>
      </c>
      <c r="B13" s="28"/>
      <c r="C13" s="1"/>
      <c r="D13" s="1"/>
      <c r="E13" s="1"/>
    </row>
    <row r="14" spans="1:5" x14ac:dyDescent="0.45">
      <c r="B14" s="28">
        <v>2022</v>
      </c>
      <c r="C14" s="1">
        <f>'GAW-4-3 PC -TAI KWH &amp; KW Adj.'!F29</f>
        <v>14336000.000000002</v>
      </c>
      <c r="D14" s="1">
        <f>'GAW-4-3 PC -TAI KWH &amp; KW Adj.'!G29</f>
        <v>15377025.061937938</v>
      </c>
      <c r="E14" s="1">
        <f>D14-C14</f>
        <v>1041025.0619379357</v>
      </c>
    </row>
    <row r="15" spans="1:5" x14ac:dyDescent="0.45">
      <c r="B15" s="28">
        <v>2023</v>
      </c>
      <c r="C15" s="1">
        <f>'GAW-4-3 PC -TAI KWH &amp; KW Adj.'!F30</f>
        <v>14668000</v>
      </c>
      <c r="D15" s="1">
        <f>'GAW-4-3 PC -TAI KWH &amp; KW Adj.'!G30</f>
        <v>15533933.480937304</v>
      </c>
      <c r="E15" s="1">
        <f t="shared" ref="E15:E17" si="1">D15-C15</f>
        <v>865933.48093730398</v>
      </c>
    </row>
    <row r="16" spans="1:5" x14ac:dyDescent="0.45">
      <c r="B16" s="28">
        <v>2024</v>
      </c>
      <c r="C16" s="1">
        <f>'GAW-4-3 PC -TAI KWH &amp; KW Adj.'!F31</f>
        <v>14778000</v>
      </c>
      <c r="D16" s="1">
        <f>'GAW-4-3 PC -TAI KWH &amp; KW Adj.'!G31</f>
        <v>15688904.758961368</v>
      </c>
      <c r="E16" s="1">
        <f t="shared" si="1"/>
        <v>910904.75896136835</v>
      </c>
    </row>
    <row r="17" spans="1:5" x14ac:dyDescent="0.45">
      <c r="B17" s="28">
        <v>2025</v>
      </c>
      <c r="C17" s="1">
        <f>'GAW-4-3 PC -TAI KWH &amp; KW Adj.'!F32</f>
        <v>14768999.999999998</v>
      </c>
      <c r="D17" s="1">
        <f>'GAW-4-3 PC -TAI KWH &amp; KW Adj.'!G32</f>
        <v>15834190.33210893</v>
      </c>
      <c r="E17" s="1">
        <f t="shared" si="1"/>
        <v>1065190.3321089316</v>
      </c>
    </row>
    <row r="18" spans="1:5" x14ac:dyDescent="0.45">
      <c r="B18" s="28"/>
      <c r="C18" s="1"/>
      <c r="D18" s="1"/>
      <c r="E18" s="1"/>
    </row>
    <row r="19" spans="1:5" x14ac:dyDescent="0.45">
      <c r="A19" s="23" t="s">
        <v>117</v>
      </c>
      <c r="B19" s="28"/>
      <c r="C19" s="1"/>
      <c r="D19" s="1"/>
      <c r="E19" s="1"/>
    </row>
    <row r="20" spans="1:5" x14ac:dyDescent="0.45">
      <c r="B20" s="28">
        <v>2022</v>
      </c>
      <c r="C20" s="1">
        <f>'GAW-4-3 PC -TAI KWH &amp; KW Adj.'!F44</f>
        <v>78958000</v>
      </c>
      <c r="D20" s="1">
        <f>'GAW-4-3 PC -TAI KWH &amp; KW Adj.'!G44</f>
        <v>100810051</v>
      </c>
      <c r="E20" s="1">
        <f>D20-C20</f>
        <v>21852051</v>
      </c>
    </row>
    <row r="21" spans="1:5" x14ac:dyDescent="0.45">
      <c r="B21" s="28">
        <v>2023</v>
      </c>
      <c r="C21" s="1">
        <f>'GAW-4-3 PC -TAI KWH &amp; KW Adj.'!F45</f>
        <v>78251000</v>
      </c>
      <c r="D21" s="1">
        <f>'GAW-4-3 PC -TAI KWH &amp; KW Adj.'!G45</f>
        <v>100810051</v>
      </c>
      <c r="E21" s="1">
        <f t="shared" ref="E21:E23" si="2">D21-C21</f>
        <v>22559051</v>
      </c>
    </row>
    <row r="22" spans="1:5" x14ac:dyDescent="0.45">
      <c r="B22" s="28">
        <v>2024</v>
      </c>
      <c r="C22" s="1">
        <f>'GAW-4-3 PC -TAI KWH &amp; KW Adj.'!F46</f>
        <v>77611000</v>
      </c>
      <c r="D22" s="1">
        <f>'GAW-4-3 PC -TAI KWH &amp; KW Adj.'!G46</f>
        <v>100810051</v>
      </c>
      <c r="E22" s="1">
        <f t="shared" si="2"/>
        <v>23199051</v>
      </c>
    </row>
    <row r="23" spans="1:5" x14ac:dyDescent="0.45">
      <c r="B23" s="28">
        <v>2025</v>
      </c>
      <c r="C23" s="1">
        <f>'GAW-4-3 PC -TAI KWH &amp; KW Adj.'!F47</f>
        <v>76484000</v>
      </c>
      <c r="D23" s="1">
        <f>'GAW-4-3 PC -TAI KWH &amp; KW Adj.'!G47</f>
        <v>100810051</v>
      </c>
      <c r="E23" s="1">
        <f t="shared" si="2"/>
        <v>24326051</v>
      </c>
    </row>
    <row r="24" spans="1:5" x14ac:dyDescent="0.45">
      <c r="A24" s="31"/>
      <c r="B24" s="31"/>
      <c r="C24" s="30"/>
      <c r="D24" s="30"/>
      <c r="E24" s="30"/>
    </row>
    <row r="25" spans="1:5" x14ac:dyDescent="0.45">
      <c r="A25" s="2" t="s">
        <v>118</v>
      </c>
      <c r="C25" s="1"/>
      <c r="D25" s="1"/>
      <c r="E25" s="1"/>
    </row>
    <row r="26" spans="1:5" x14ac:dyDescent="0.45">
      <c r="B26" s="28">
        <v>2022</v>
      </c>
      <c r="C26" s="1"/>
      <c r="D26" s="1"/>
      <c r="E26" s="1">
        <f>E8+E14+E20</f>
        <v>137843087.29052413</v>
      </c>
    </row>
    <row r="27" spans="1:5" x14ac:dyDescent="0.45">
      <c r="B27" s="28">
        <v>2023</v>
      </c>
      <c r="C27" s="1"/>
      <c r="D27" s="1"/>
      <c r="E27" s="1">
        <f t="shared" ref="E27:E29" si="3">E9+E15+E21</f>
        <v>250561735.28440982</v>
      </c>
    </row>
    <row r="28" spans="1:5" x14ac:dyDescent="0.45">
      <c r="B28" s="28">
        <v>2024</v>
      </c>
      <c r="C28" s="1"/>
      <c r="D28" s="1"/>
      <c r="E28" s="1">
        <f t="shared" si="3"/>
        <v>246445694.93828648</v>
      </c>
    </row>
    <row r="29" spans="1:5" x14ac:dyDescent="0.45">
      <c r="B29" s="28">
        <v>2025</v>
      </c>
      <c r="C29" s="1"/>
      <c r="D29" s="1"/>
      <c r="E29" s="1">
        <f t="shared" si="3"/>
        <v>297361106.71460479</v>
      </c>
    </row>
    <row r="30" spans="1:5" x14ac:dyDescent="0.45">
      <c r="C30" s="1"/>
      <c r="D30" s="1"/>
      <c r="E30" s="1"/>
    </row>
  </sheetData>
  <mergeCells count="4">
    <mergeCell ref="A1:E1"/>
    <mergeCell ref="A2:E2"/>
    <mergeCell ref="C3:E3"/>
    <mergeCell ref="A5:B5"/>
  </mergeCells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6" sqref="A6"/>
    </sheetView>
  </sheetViews>
  <sheetFormatPr defaultRowHeight="14.25" x14ac:dyDescent="0.45"/>
  <cols>
    <col min="1" max="1" width="2.33203125" customWidth="1"/>
    <col min="2" max="2" width="22.265625" customWidth="1"/>
    <col min="3" max="4" width="8.53125" bestFit="1" customWidth="1"/>
    <col min="5" max="5" width="12" bestFit="1" customWidth="1"/>
  </cols>
  <sheetData>
    <row r="1" spans="1:5" x14ac:dyDescent="0.45">
      <c r="A1" s="118" t="s">
        <v>128</v>
      </c>
      <c r="B1" s="118"/>
      <c r="C1" s="118"/>
      <c r="D1" s="118"/>
      <c r="E1" s="118"/>
    </row>
    <row r="2" spans="1:5" x14ac:dyDescent="0.45">
      <c r="A2" s="119" t="s">
        <v>130</v>
      </c>
      <c r="B2" s="119"/>
      <c r="C2" s="119"/>
      <c r="D2" s="119"/>
      <c r="E2" s="119"/>
    </row>
    <row r="3" spans="1:5" ht="15.75" x14ac:dyDescent="0.5">
      <c r="A3" s="89"/>
      <c r="B3" s="89"/>
      <c r="C3" s="120" t="s">
        <v>121</v>
      </c>
      <c r="D3" s="120"/>
      <c r="E3" s="120"/>
    </row>
    <row r="4" spans="1:5" x14ac:dyDescent="0.45">
      <c r="A4" s="11"/>
      <c r="B4" s="21"/>
      <c r="C4" s="5"/>
      <c r="D4" s="5" t="s">
        <v>113</v>
      </c>
      <c r="E4" s="5"/>
    </row>
    <row r="5" spans="1:5" x14ac:dyDescent="0.45">
      <c r="A5" s="119" t="s">
        <v>134</v>
      </c>
      <c r="B5" s="119"/>
      <c r="C5" s="19" t="s">
        <v>48</v>
      </c>
      <c r="D5" s="19" t="s">
        <v>114</v>
      </c>
      <c r="E5" s="19" t="s">
        <v>49</v>
      </c>
    </row>
    <row r="7" spans="1:5" x14ac:dyDescent="0.45">
      <c r="A7" s="23" t="s">
        <v>115</v>
      </c>
    </row>
    <row r="8" spans="1:5" x14ac:dyDescent="0.45">
      <c r="B8" s="28">
        <v>2022</v>
      </c>
      <c r="C8" s="36" t="s">
        <v>120</v>
      </c>
      <c r="D8" s="36" t="s">
        <v>120</v>
      </c>
      <c r="E8" s="36" t="s">
        <v>120</v>
      </c>
    </row>
    <row r="9" spans="1:5" x14ac:dyDescent="0.45">
      <c r="B9" s="28">
        <v>2023</v>
      </c>
      <c r="C9" s="36" t="s">
        <v>120</v>
      </c>
      <c r="D9" s="36" t="s">
        <v>120</v>
      </c>
      <c r="E9" s="36" t="s">
        <v>120</v>
      </c>
    </row>
    <row r="10" spans="1:5" x14ac:dyDescent="0.45">
      <c r="B10" s="28">
        <v>2024</v>
      </c>
      <c r="C10" s="36" t="s">
        <v>120</v>
      </c>
      <c r="D10" s="36" t="s">
        <v>120</v>
      </c>
      <c r="E10" s="36" t="s">
        <v>120</v>
      </c>
    </row>
    <row r="11" spans="1:5" x14ac:dyDescent="0.45">
      <c r="B11" s="28">
        <v>2025</v>
      </c>
      <c r="C11" s="36" t="s">
        <v>120</v>
      </c>
      <c r="D11" s="36" t="s">
        <v>120</v>
      </c>
      <c r="E11" s="36" t="s">
        <v>120</v>
      </c>
    </row>
    <row r="12" spans="1:5" x14ac:dyDescent="0.45">
      <c r="B12" s="28"/>
      <c r="C12" s="1"/>
      <c r="D12" s="1"/>
      <c r="E12" s="1"/>
    </row>
    <row r="13" spans="1:5" x14ac:dyDescent="0.45">
      <c r="A13" s="23" t="s">
        <v>116</v>
      </c>
      <c r="B13" s="28"/>
      <c r="C13" s="1"/>
      <c r="D13" s="1"/>
      <c r="E13" s="1"/>
    </row>
    <row r="14" spans="1:5" x14ac:dyDescent="0.45">
      <c r="B14" s="28">
        <v>2022</v>
      </c>
      <c r="C14" s="1">
        <f>'GAW-4-3 PC -TAI KWH &amp; KW Adj.'!N29+'GAW-4-3 PC -TAI KWH &amp; KW Adj.'!V29</f>
        <v>5120</v>
      </c>
      <c r="D14" s="1">
        <f>'GAW-4-3 PC -TAI KWH &amp; KW Adj.'!O29+'GAW-4-3 PC -TAI KWH &amp; KW Adj.'!W29</f>
        <v>7121.5774540848652</v>
      </c>
      <c r="E14" s="1">
        <f>D14-C14</f>
        <v>2001.5774540848652</v>
      </c>
    </row>
    <row r="15" spans="1:5" x14ac:dyDescent="0.45">
      <c r="B15" s="28">
        <v>2023</v>
      </c>
      <c r="C15" s="1">
        <f>'GAW-4-3 PC -TAI KWH &amp; KW Adj.'!N30+'GAW-4-3 PC -TAI KWH &amp; KW Adj.'!V30</f>
        <v>5313</v>
      </c>
      <c r="D15" s="1">
        <f>'GAW-4-3 PC -TAI KWH &amp; KW Adj.'!O30+'GAW-4-3 PC -TAI KWH &amp; KW Adj.'!W30</f>
        <v>7194.2466117796084</v>
      </c>
      <c r="E15" s="1">
        <f t="shared" ref="E15:E17" si="0">D15-C15</f>
        <v>1881.2466117796084</v>
      </c>
    </row>
    <row r="16" spans="1:5" x14ac:dyDescent="0.45">
      <c r="B16" s="28">
        <v>2024</v>
      </c>
      <c r="C16" s="1">
        <f>'GAW-4-3 PC -TAI KWH &amp; KW Adj.'!N31+'GAW-4-3 PC -TAI KWH &amp; KW Adj.'!V31</f>
        <v>5376</v>
      </c>
      <c r="D16" s="1">
        <f>'GAW-4-3 PC -TAI KWH &amp; KW Adj.'!O31+'GAW-4-3 PC -TAI KWH &amp; KW Adj.'!W31</f>
        <v>7266.0186193793525</v>
      </c>
      <c r="E16" s="1">
        <f t="shared" si="0"/>
        <v>1890.0186193793525</v>
      </c>
    </row>
    <row r="17" spans="1:5" x14ac:dyDescent="0.45">
      <c r="B17" s="28">
        <v>2025</v>
      </c>
      <c r="C17" s="1">
        <f>'GAW-4-3 PC -TAI KWH &amp; KW Adj.'!N32+'GAW-4-3 PC -TAI KWH &amp; KW Adj.'!V32</f>
        <v>5380</v>
      </c>
      <c r="D17" s="1">
        <f>'GAW-4-3 PC -TAI KWH &amp; KW Adj.'!O32+'GAW-4-3 PC -TAI KWH &amp; KW Adj.'!W32</f>
        <v>7333.3048765041149</v>
      </c>
      <c r="E17" s="1">
        <f t="shared" si="0"/>
        <v>1953.3048765041149</v>
      </c>
    </row>
    <row r="18" spans="1:5" x14ac:dyDescent="0.45">
      <c r="B18" s="28"/>
      <c r="C18" s="1"/>
      <c r="D18" s="1"/>
      <c r="E18" s="1"/>
    </row>
    <row r="19" spans="1:5" x14ac:dyDescent="0.45">
      <c r="A19" s="23" t="s">
        <v>117</v>
      </c>
      <c r="B19" s="28"/>
      <c r="C19" s="1"/>
      <c r="D19" s="1"/>
      <c r="E19" s="1"/>
    </row>
    <row r="20" spans="1:5" x14ac:dyDescent="0.45">
      <c r="B20" s="28">
        <v>2022</v>
      </c>
      <c r="C20" s="1">
        <f>'GAW-4-3 PC -TAI KWH &amp; KW Adj.'!N44</f>
        <v>342089</v>
      </c>
      <c r="D20" s="1">
        <f>'GAW-4-3 PC -TAI KWH &amp; KW Adj.'!O44</f>
        <v>410250</v>
      </c>
      <c r="E20" s="1">
        <f>D20-C20</f>
        <v>68161</v>
      </c>
    </row>
    <row r="21" spans="1:5" x14ac:dyDescent="0.45">
      <c r="B21" s="28">
        <v>2023</v>
      </c>
      <c r="C21" s="1">
        <f>'GAW-4-3 PC -TAI KWH &amp; KW Adj.'!N45</f>
        <v>337746</v>
      </c>
      <c r="D21" s="1">
        <f>'GAW-4-3 PC -TAI KWH &amp; KW Adj.'!O45</f>
        <v>410250</v>
      </c>
      <c r="E21" s="1">
        <f t="shared" ref="E21:E23" si="1">D21-C21</f>
        <v>72504</v>
      </c>
    </row>
    <row r="22" spans="1:5" x14ac:dyDescent="0.45">
      <c r="B22" s="28">
        <v>2024</v>
      </c>
      <c r="C22" s="1">
        <f>'GAW-4-3 PC -TAI KWH &amp; KW Adj.'!N46</f>
        <v>333917</v>
      </c>
      <c r="D22" s="1">
        <f>'GAW-4-3 PC -TAI KWH &amp; KW Adj.'!O46</f>
        <v>410250</v>
      </c>
      <c r="E22" s="1">
        <f t="shared" si="1"/>
        <v>76333</v>
      </c>
    </row>
    <row r="23" spans="1:5" x14ac:dyDescent="0.45">
      <c r="B23" s="28">
        <v>2025</v>
      </c>
      <c r="C23" s="1">
        <f>'GAW-4-3 PC -TAI KWH &amp; KW Adj.'!N47</f>
        <v>329590</v>
      </c>
      <c r="D23" s="1">
        <f>'GAW-4-3 PC -TAI KWH &amp; KW Adj.'!O47</f>
        <v>410250</v>
      </c>
      <c r="E23" s="1">
        <f t="shared" si="1"/>
        <v>80660</v>
      </c>
    </row>
    <row r="24" spans="1:5" x14ac:dyDescent="0.45">
      <c r="A24" s="31"/>
      <c r="B24" s="31"/>
      <c r="C24" s="30"/>
      <c r="D24" s="30"/>
      <c r="E24" s="30"/>
    </row>
    <row r="25" spans="1:5" x14ac:dyDescent="0.45">
      <c r="A25" s="2" t="s">
        <v>118</v>
      </c>
      <c r="C25" s="1"/>
      <c r="D25" s="1"/>
      <c r="E25" s="1"/>
    </row>
    <row r="26" spans="1:5" x14ac:dyDescent="0.45">
      <c r="B26" s="28">
        <v>2022</v>
      </c>
      <c r="C26" s="1"/>
      <c r="D26" s="1"/>
      <c r="E26" s="1">
        <f>E14+E20</f>
        <v>70162.577454084865</v>
      </c>
    </row>
    <row r="27" spans="1:5" x14ac:dyDescent="0.45">
      <c r="B27" s="28">
        <v>2023</v>
      </c>
      <c r="C27" s="1"/>
      <c r="D27" s="1"/>
      <c r="E27" s="1">
        <f t="shared" ref="E27:E29" si="2">E15+E21</f>
        <v>74385.246611779614</v>
      </c>
    </row>
    <row r="28" spans="1:5" x14ac:dyDescent="0.45">
      <c r="B28" s="28">
        <v>2024</v>
      </c>
      <c r="C28" s="1"/>
      <c r="D28" s="1"/>
      <c r="E28" s="1">
        <f t="shared" si="2"/>
        <v>78223.018619379349</v>
      </c>
    </row>
    <row r="29" spans="1:5" x14ac:dyDescent="0.45">
      <c r="B29" s="28">
        <v>2025</v>
      </c>
      <c r="C29" s="1"/>
      <c r="D29" s="1"/>
      <c r="E29" s="1">
        <f t="shared" si="2"/>
        <v>82613.304876504117</v>
      </c>
    </row>
    <row r="30" spans="1:5" x14ac:dyDescent="0.45">
      <c r="C30" s="1"/>
      <c r="D30" s="1"/>
      <c r="E30" s="1"/>
    </row>
  </sheetData>
  <mergeCells count="4">
    <mergeCell ref="A1:E1"/>
    <mergeCell ref="A2:E2"/>
    <mergeCell ref="C3:E3"/>
    <mergeCell ref="A5:B5"/>
  </mergeCells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workbookViewId="0">
      <selection activeCell="F29" sqref="F29"/>
    </sheetView>
  </sheetViews>
  <sheetFormatPr defaultRowHeight="14.25" x14ac:dyDescent="0.45"/>
  <cols>
    <col min="1" max="1" width="3.73046875" customWidth="1"/>
    <col min="2" max="2" width="33.796875" customWidth="1"/>
    <col min="3" max="3" width="10.59765625" bestFit="1" customWidth="1"/>
    <col min="4" max="5" width="13.9296875" bestFit="1" customWidth="1"/>
    <col min="6" max="6" width="13.06640625" customWidth="1"/>
    <col min="7" max="7" width="2.265625" customWidth="1"/>
    <col min="8" max="8" width="16.06640625" bestFit="1" customWidth="1"/>
    <col min="9" max="9" width="13.9296875" bestFit="1" customWidth="1"/>
    <col min="10" max="10" width="11.73046875" customWidth="1"/>
    <col min="11" max="11" width="1.9296875" customWidth="1"/>
    <col min="12" max="13" width="13.9296875" bestFit="1" customWidth="1"/>
    <col min="14" max="14" width="11.33203125" bestFit="1" customWidth="1"/>
    <col min="15" max="15" width="1.33203125" customWidth="1"/>
    <col min="16" max="16" width="13.9296875" bestFit="1" customWidth="1"/>
    <col min="17" max="17" width="14" bestFit="1" customWidth="1"/>
    <col min="18" max="18" width="11.33203125" bestFit="1" customWidth="1"/>
  </cols>
  <sheetData>
    <row r="1" spans="1:18" x14ac:dyDescent="0.45">
      <c r="H1" s="1"/>
    </row>
    <row r="2" spans="1:18" ht="18" x14ac:dyDescent="0.55000000000000004">
      <c r="A2" s="121" t="s">
        <v>128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8" ht="18" x14ac:dyDescent="0.55000000000000004">
      <c r="A3" s="121" t="s">
        <v>94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</row>
    <row r="4" spans="1:18" ht="18" x14ac:dyDescent="0.55000000000000004">
      <c r="A4" s="121" t="s">
        <v>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</row>
    <row r="5" spans="1:18" x14ac:dyDescent="0.4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45">
      <c r="D6" s="119">
        <v>2022</v>
      </c>
      <c r="E6" s="119"/>
      <c r="F6" s="119"/>
      <c r="G6" s="5"/>
      <c r="H6" s="119">
        <v>2023</v>
      </c>
      <c r="I6" s="119"/>
      <c r="J6" s="119"/>
      <c r="K6" s="5"/>
      <c r="L6" s="119">
        <v>2024</v>
      </c>
      <c r="M6" s="119"/>
      <c r="N6" s="119"/>
      <c r="O6" s="5"/>
      <c r="P6" s="119">
        <v>2025</v>
      </c>
      <c r="Q6" s="119"/>
      <c r="R6" s="119"/>
    </row>
    <row r="7" spans="1:18" x14ac:dyDescent="0.45">
      <c r="C7" s="24" t="s">
        <v>50</v>
      </c>
      <c r="D7" s="5" t="s">
        <v>48</v>
      </c>
      <c r="E7" s="5" t="s">
        <v>74</v>
      </c>
      <c r="F7" s="5" t="s">
        <v>74</v>
      </c>
      <c r="G7" s="5"/>
      <c r="H7" s="5" t="s">
        <v>48</v>
      </c>
      <c r="I7" s="5" t="s">
        <v>74</v>
      </c>
      <c r="J7" s="5" t="s">
        <v>74</v>
      </c>
      <c r="K7" s="5"/>
      <c r="L7" s="5" t="s">
        <v>48</v>
      </c>
      <c r="M7" s="5" t="s">
        <v>74</v>
      </c>
      <c r="N7" s="5" t="s">
        <v>74</v>
      </c>
      <c r="O7" s="5"/>
      <c r="P7" s="5" t="s">
        <v>48</v>
      </c>
      <c r="Q7" s="5" t="s">
        <v>74</v>
      </c>
      <c r="R7" s="5" t="s">
        <v>74</v>
      </c>
    </row>
    <row r="8" spans="1:18" x14ac:dyDescent="0.45">
      <c r="C8" s="19" t="s">
        <v>92</v>
      </c>
      <c r="D8" s="18" t="s">
        <v>58</v>
      </c>
      <c r="E8" s="18" t="s">
        <v>58</v>
      </c>
      <c r="F8" s="18" t="s">
        <v>49</v>
      </c>
      <c r="G8" s="5"/>
      <c r="H8" s="18" t="s">
        <v>58</v>
      </c>
      <c r="I8" s="18" t="s">
        <v>58</v>
      </c>
      <c r="J8" s="18" t="s">
        <v>49</v>
      </c>
      <c r="K8" s="5"/>
      <c r="L8" s="18" t="s">
        <v>58</v>
      </c>
      <c r="M8" s="18" t="s">
        <v>58</v>
      </c>
      <c r="N8" s="18" t="s">
        <v>49</v>
      </c>
      <c r="O8" s="5"/>
      <c r="P8" s="18" t="s">
        <v>58</v>
      </c>
      <c r="Q8" s="18" t="s">
        <v>58</v>
      </c>
      <c r="R8" s="18" t="s">
        <v>49</v>
      </c>
    </row>
    <row r="9" spans="1:18" x14ac:dyDescent="0.45">
      <c r="A9" s="23" t="s">
        <v>90</v>
      </c>
    </row>
    <row r="10" spans="1:18" x14ac:dyDescent="0.45">
      <c r="B10" t="s">
        <v>75</v>
      </c>
      <c r="C10" s="27">
        <f>(1083815.784/10857353)</f>
        <v>9.9823205895580622E-2</v>
      </c>
      <c r="D10" s="22">
        <v>1181367964</v>
      </c>
      <c r="E10" s="22">
        <f>(+'GAW-4-3 PC -TAI KWH &amp; KW Adj.'!G14*(1083815.784/10857353)+97552180)</f>
        <v>1192842642.6385703</v>
      </c>
      <c r="F10" s="22">
        <f>E10-D10</f>
        <v>11474678.638570309</v>
      </c>
      <c r="G10" s="22"/>
      <c r="H10" s="22">
        <v>1181455600</v>
      </c>
      <c r="I10" s="22">
        <f>(+'GAW-4-3 PC -TAI KWH &amp; KW Adj.'!G15*(1082640.662/10846482)+98814938)</f>
        <v>1204127235.1213601</v>
      </c>
      <c r="J10" s="22">
        <f>I10-H10</f>
        <v>22671635.121360064</v>
      </c>
      <c r="K10" s="22"/>
      <c r="L10" s="22">
        <v>1193395425</v>
      </c>
      <c r="M10" s="22">
        <f>(+'GAW-4-3 PC -TAI KWH &amp; KW Adj.'!G16*(1093301.191/10953273)+100094234)</f>
        <v>1215587871.8098826</v>
      </c>
      <c r="N10" s="22">
        <f>M10-L10</f>
        <v>22192446.809882641</v>
      </c>
      <c r="O10" s="22"/>
      <c r="P10" s="22">
        <v>1199531745</v>
      </c>
      <c r="Q10" s="22">
        <f>(+'GAW-4-3 PC -TAI KWH &amp; KW Adj.'!G17*(1098170.697/11003417)+101361048)</f>
        <v>1226675071.171324</v>
      </c>
      <c r="R10" s="22">
        <f>Q10-P10</f>
        <v>27143326.171324015</v>
      </c>
    </row>
    <row r="11" spans="1:18" x14ac:dyDescent="0.45"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x14ac:dyDescent="0.45">
      <c r="B12" s="25" t="s">
        <v>76</v>
      </c>
      <c r="C12" s="27">
        <f>0.00331425</f>
        <v>3.3142499999999999E-3</v>
      </c>
      <c r="D12" s="22">
        <f>'GAW-4-3 PC -TAI KWH &amp; KW Adj.'!F14*0.00331425</f>
        <v>35983982.180249996</v>
      </c>
      <c r="E12" s="22">
        <f>'GAW-4-3 PC -TAI KWH &amp; KW Adj.'!G14*0.00331425</f>
        <v>36364955.254964344</v>
      </c>
      <c r="F12" s="22">
        <f t="shared" ref="F12:F25" si="0">E12-D12</f>
        <v>380973.07471434772</v>
      </c>
      <c r="G12" s="22"/>
      <c r="H12" s="22">
        <f>'GAW-4-3 PC -TAI KWH &amp; KW Adj.'!F15*0.00331425</f>
        <v>35947952.968499996</v>
      </c>
      <c r="I12" s="22">
        <f>'GAW-4-3 PC -TAI KWH &amp; KW Adj.'!G15*0.00331425</f>
        <v>36700740.944850408</v>
      </c>
      <c r="J12" s="22">
        <f t="shared" ref="J12:J25" si="1">I12-H12</f>
        <v>752787.97635041177</v>
      </c>
      <c r="K12" s="22"/>
      <c r="L12" s="26" t="s">
        <v>91</v>
      </c>
      <c r="M12" s="26" t="s">
        <v>91</v>
      </c>
      <c r="N12" s="26" t="s">
        <v>91</v>
      </c>
      <c r="O12" s="22"/>
      <c r="P12" s="26" t="s">
        <v>91</v>
      </c>
      <c r="Q12" s="26" t="s">
        <v>91</v>
      </c>
      <c r="R12" s="26" t="s">
        <v>91</v>
      </c>
    </row>
    <row r="13" spans="1:18" x14ac:dyDescent="0.45">
      <c r="B13" s="25" t="s">
        <v>77</v>
      </c>
      <c r="C13" s="27">
        <f>0.0021346263</f>
        <v>2.1346262999999998E-3</v>
      </c>
      <c r="D13" s="22">
        <f>'GAW-4-3 PC -TAI KWH &amp; KW Adj.'!F14*0.0021346263</f>
        <v>23176391.262183897</v>
      </c>
      <c r="E13" s="22">
        <f>'GAW-4-3 PC -TAI KWH &amp; KW Adj.'!G14*0.0021346263</f>
        <v>23421766.579337735</v>
      </c>
      <c r="F13" s="22">
        <f t="shared" si="0"/>
        <v>245375.31715383753</v>
      </c>
      <c r="G13" s="22"/>
      <c r="H13" s="22">
        <f>'GAW-4-3 PC -TAI KWH &amp; KW Adj.'!F15*0.0021346263</f>
        <v>23153185.739676598</v>
      </c>
      <c r="I13" s="22">
        <f>'GAW-4-3 PC -TAI KWH &amp; KW Adj.'!G15*0.0021346263</f>
        <v>23638037.821638238</v>
      </c>
      <c r="J13" s="22">
        <f t="shared" si="1"/>
        <v>484852.08196163923</v>
      </c>
      <c r="K13" s="22"/>
      <c r="L13" s="26" t="s">
        <v>91</v>
      </c>
      <c r="M13" s="26" t="s">
        <v>91</v>
      </c>
      <c r="N13" s="26" t="s">
        <v>91</v>
      </c>
      <c r="O13" s="22"/>
      <c r="P13" s="26" t="s">
        <v>91</v>
      </c>
      <c r="Q13" s="26" t="s">
        <v>91</v>
      </c>
      <c r="R13" s="26" t="s">
        <v>91</v>
      </c>
    </row>
    <row r="14" spans="1:18" x14ac:dyDescent="0.45">
      <c r="B14" s="25" t="s">
        <v>78</v>
      </c>
      <c r="C14" s="27">
        <f>-0.001391</f>
        <v>-1.3910000000000001E-3</v>
      </c>
      <c r="D14" s="22">
        <f>'GAW-4-3 PC -TAI KWH &amp; KW Adj.'!F14*-0.001391</f>
        <v>-15102578.023000002</v>
      </c>
      <c r="E14" s="22">
        <f>'GAW-4-3 PC -TAI KWH &amp; KW Adj.'!G14*-0.001391</f>
        <v>-15262473.488618964</v>
      </c>
      <c r="F14" s="22">
        <f t="shared" si="0"/>
        <v>-159895.46561896242</v>
      </c>
      <c r="G14" s="22"/>
      <c r="H14" s="22">
        <f>'GAW-4-3 PC -TAI KWH &amp; KW Adj.'!F15*-0.001391</f>
        <v>-15087456.462000001</v>
      </c>
      <c r="I14" s="22">
        <f>'GAW-4-3 PC -TAI KWH &amp; KW Adj.'!G15*-0.001391</f>
        <v>-15403403.682367632</v>
      </c>
      <c r="J14" s="22">
        <f t="shared" si="1"/>
        <v>-315947.22036763094</v>
      </c>
      <c r="K14" s="22"/>
      <c r="L14" s="22">
        <f>'GAW-4-3 PC -TAI KWH &amp; KW Adj.'!F16*-0.001391</f>
        <v>-15236002.743000001</v>
      </c>
      <c r="M14" s="22">
        <f>'GAW-4-3 PC -TAI KWH &amp; KW Adj.'!G16*-0.001391</f>
        <v>-15545271.756198442</v>
      </c>
      <c r="N14" s="22">
        <f t="shared" ref="N14:N20" si="2">M14-L14</f>
        <v>-309269.01319844089</v>
      </c>
      <c r="O14" s="22"/>
      <c r="P14" s="22">
        <f>'GAW-4-3 PC -TAI KWH &amp; KW Adj.'!F17*-0.001391</f>
        <v>-15305753.047</v>
      </c>
      <c r="Q14" s="22">
        <f>'GAW-4-3 PC -TAI KWH &amp; KW Adj.'!G17*-0.001391</f>
        <v>-15684063.129747054</v>
      </c>
      <c r="R14" s="22">
        <f t="shared" ref="R14:R20" si="3">Q14-P14</f>
        <v>-378310.08274705335</v>
      </c>
    </row>
    <row r="15" spans="1:18" x14ac:dyDescent="0.45">
      <c r="B15" s="25" t="s">
        <v>79</v>
      </c>
      <c r="C15" s="27">
        <f>0.003825</f>
        <v>3.8249999999999998E-3</v>
      </c>
      <c r="D15" s="22">
        <f>'GAW-4-3 PC -TAI KWH &amp; KW Adj.'!F14*0.003825</f>
        <v>41529375.225000001</v>
      </c>
      <c r="E15" s="22">
        <f>'GAW-4-3 PC -TAI KWH &amp; KW Adj.'!G14*0.003825</f>
        <v>41969059.017949343</v>
      </c>
      <c r="F15" s="22">
        <f t="shared" si="0"/>
        <v>439683.79294934124</v>
      </c>
      <c r="G15" s="22"/>
      <c r="H15" s="22">
        <f>'GAW-4-3 PC -TAI KWH &amp; KW Adj.'!F15*0.003825</f>
        <v>41487793.649999999</v>
      </c>
      <c r="I15" s="22">
        <f>'GAW-4-3 PC -TAI KWH &amp; KW Adj.'!G15*0.003825</f>
        <v>42356591.721823283</v>
      </c>
      <c r="J15" s="22">
        <f t="shared" si="1"/>
        <v>868798.07182328403</v>
      </c>
      <c r="K15" s="22"/>
      <c r="L15" s="22">
        <f>'GAW-4-3 PC -TAI KWH &amp; KW Adj.'!F16*0.003825</f>
        <v>41896269.225000001</v>
      </c>
      <c r="M15" s="22">
        <f>'GAW-4-3 PC -TAI KWH &amp; KW Adj.'!G16*0.003825</f>
        <v>42746703.427360915</v>
      </c>
      <c r="N15" s="22">
        <f t="shared" si="2"/>
        <v>850434.20236091316</v>
      </c>
      <c r="O15" s="22"/>
      <c r="P15" s="22">
        <f>'GAW-4-3 PC -TAI KWH &amp; KW Adj.'!F17*0.003825</f>
        <v>42088070.024999999</v>
      </c>
      <c r="Q15" s="22">
        <f>'GAW-4-3 PC -TAI KWH &amp; KW Adj.'!G17*0.003825</f>
        <v>43128354.760088041</v>
      </c>
      <c r="R15" s="22">
        <f t="shared" si="3"/>
        <v>1040284.7350880429</v>
      </c>
    </row>
    <row r="16" spans="1:18" x14ac:dyDescent="0.45">
      <c r="B16" s="25" t="s">
        <v>80</v>
      </c>
      <c r="C16" s="27">
        <f>0.001352</f>
        <v>1.3519999999999999E-3</v>
      </c>
      <c r="D16" s="22">
        <f>'GAW-4-3 PC -TAI KWH &amp; KW Adj.'!F14*0.001352</f>
        <v>14679141.255999999</v>
      </c>
      <c r="E16" s="22">
        <f>'GAW-4-3 PC -TAI KWH &amp; KW Adj.'!G14*0.001352</f>
        <v>14834553.671181047</v>
      </c>
      <c r="F16" s="22">
        <f t="shared" si="0"/>
        <v>155412.41518104821</v>
      </c>
      <c r="G16" s="22"/>
      <c r="H16" s="22">
        <f>'GAW-4-3 PC -TAI KWH &amp; KW Adj.'!F15*0.001352</f>
        <v>14664443.663999999</v>
      </c>
      <c r="I16" s="22">
        <f>'GAW-4-3 PC -TAI KWH &amp; KW Adj.'!G15*0.001352</f>
        <v>14971532.551086294</v>
      </c>
      <c r="J16" s="22">
        <f t="shared" si="1"/>
        <v>307088.88708629459</v>
      </c>
      <c r="K16" s="22"/>
      <c r="L16" s="22">
        <f>'GAW-4-3 PC -TAI KWH &amp; KW Adj.'!F16*0.001352</f>
        <v>14808825.095999999</v>
      </c>
      <c r="M16" s="22">
        <f>'GAW-4-3 PC -TAI KWH &amp; KW Adj.'!G16*0.001352</f>
        <v>15109423.015370447</v>
      </c>
      <c r="N16" s="22">
        <f t="shared" si="2"/>
        <v>300597.91937044822</v>
      </c>
      <c r="O16" s="22"/>
      <c r="P16" s="22">
        <f>'GAW-4-3 PC -TAI KWH &amp; KW Adj.'!F17*0.001352</f>
        <v>14876619.783999998</v>
      </c>
      <c r="Q16" s="22">
        <f>'GAW-4-3 PC -TAI KWH &amp; KW Adj.'!G17*0.001352</f>
        <v>15244323.041997133</v>
      </c>
      <c r="R16" s="22">
        <f t="shared" si="3"/>
        <v>367703.2579971347</v>
      </c>
    </row>
    <row r="17" spans="2:18" x14ac:dyDescent="0.45">
      <c r="B17" s="25" t="s">
        <v>81</v>
      </c>
      <c r="C17" s="27">
        <f>-0.000021</f>
        <v>-2.0999999999999999E-5</v>
      </c>
      <c r="D17" s="22">
        <f>'GAW-4-3 PC -TAI KWH &amp; KW Adj.'!F14*-0.000021</f>
        <v>-228004.413</v>
      </c>
      <c r="E17" s="22">
        <f>'GAW-4-3 PC -TAI KWH &amp; KW Adj.'!G14*-0.000021</f>
        <v>-230418.36323580029</v>
      </c>
      <c r="F17" s="22">
        <f t="shared" si="0"/>
        <v>-2413.9502358002937</v>
      </c>
      <c r="G17" s="22"/>
      <c r="H17" s="22">
        <f>'GAW-4-3 PC -TAI KWH &amp; KW Adj.'!F15*-0.000021</f>
        <v>-227776.12199999997</v>
      </c>
      <c r="I17" s="22">
        <f>'GAW-4-3 PC -TAI KWH &amp; KW Adj.'!G15*-0.000021</f>
        <v>-232545.99376687291</v>
      </c>
      <c r="J17" s="22">
        <f t="shared" si="1"/>
        <v>-4769.8717668729369</v>
      </c>
      <c r="K17" s="22"/>
      <c r="L17" s="22">
        <f>'GAW-4-3 PC -TAI KWH &amp; KW Adj.'!F16*-0.000021</f>
        <v>-230018.73299999998</v>
      </c>
      <c r="M17" s="22">
        <f>'GAW-4-3 PC -TAI KWH &amp; KW Adj.'!G16*-0.000021</f>
        <v>-234687.78352276582</v>
      </c>
      <c r="N17" s="22">
        <f t="shared" si="2"/>
        <v>-4669.0505227658432</v>
      </c>
      <c r="O17" s="22"/>
      <c r="P17" s="22">
        <f>'GAW-4-3 PC -TAI KWH &amp; KW Adj.'!F17*-0.000021</f>
        <v>-231071.75699999998</v>
      </c>
      <c r="Q17" s="22">
        <f>'GAW-4-3 PC -TAI KWH &amp; KW Adj.'!G17*-0.000021</f>
        <v>-236783.12417303241</v>
      </c>
      <c r="R17" s="22">
        <f t="shared" si="3"/>
        <v>-5711.3671730324277</v>
      </c>
    </row>
    <row r="18" spans="2:18" x14ac:dyDescent="0.45">
      <c r="B18" s="25" t="s">
        <v>82</v>
      </c>
      <c r="C18" s="27">
        <v>0</v>
      </c>
      <c r="D18" s="22">
        <v>0</v>
      </c>
      <c r="E18" s="22">
        <v>0</v>
      </c>
      <c r="F18" s="22">
        <f t="shared" si="0"/>
        <v>0</v>
      </c>
      <c r="G18" s="22"/>
      <c r="H18" s="22">
        <v>0</v>
      </c>
      <c r="I18" s="22">
        <v>0</v>
      </c>
      <c r="J18" s="22">
        <f t="shared" si="1"/>
        <v>0</v>
      </c>
      <c r="K18" s="22"/>
      <c r="L18" s="22">
        <v>0</v>
      </c>
      <c r="M18" s="22">
        <v>0</v>
      </c>
      <c r="N18" s="22">
        <f t="shared" si="2"/>
        <v>0</v>
      </c>
      <c r="O18" s="22"/>
      <c r="P18" s="22">
        <v>0</v>
      </c>
      <c r="Q18" s="22">
        <v>0</v>
      </c>
      <c r="R18" s="22">
        <f t="shared" si="3"/>
        <v>0</v>
      </c>
    </row>
    <row r="19" spans="2:18" x14ac:dyDescent="0.45">
      <c r="B19" s="25" t="s">
        <v>83</v>
      </c>
      <c r="C19" s="27">
        <f>0.003072</f>
        <v>3.0720000000000001E-3</v>
      </c>
      <c r="D19" s="22">
        <f>'GAW-4-3 PC -TAI KWH &amp; KW Adj.'!F14*0.003072</f>
        <v>33353788.416000001</v>
      </c>
      <c r="E19" s="22">
        <f>'GAW-4-3 PC -TAI KWH &amp; KW Adj.'!G14*0.003072</f>
        <v>33706914.850494221</v>
      </c>
      <c r="F19" s="22">
        <f t="shared" si="0"/>
        <v>353126.43449421972</v>
      </c>
      <c r="G19" s="22"/>
      <c r="H19" s="22">
        <f>'GAW-4-3 PC -TAI KWH &amp; KW Adj.'!F15*0.003072</f>
        <v>33320392.704</v>
      </c>
      <c r="I19" s="22">
        <f>'GAW-4-3 PC -TAI KWH &amp; KW Adj.'!G15*0.003072</f>
        <v>34018156.80246827</v>
      </c>
      <c r="J19" s="22">
        <f t="shared" si="1"/>
        <v>697764.09846827015</v>
      </c>
      <c r="K19" s="22"/>
      <c r="L19" s="22">
        <f>'GAW-4-3 PC -TAI KWH &amp; KW Adj.'!F16*0.003072</f>
        <v>33648454.656000003</v>
      </c>
      <c r="M19" s="22">
        <f>'GAW-4-3 PC -TAI KWH &amp; KW Adj.'!G16*0.003072</f>
        <v>34331470.04675889</v>
      </c>
      <c r="N19" s="22">
        <f t="shared" si="2"/>
        <v>683015.39075888693</v>
      </c>
      <c r="O19" s="22"/>
      <c r="P19" s="22">
        <f>'GAW-4-3 PC -TAI KWH &amp; KW Adj.'!F17*0.003072</f>
        <v>33802497.024000004</v>
      </c>
      <c r="Q19" s="22">
        <f>'GAW-4-3 PC -TAI KWH &amp; KW Adj.'!G17*0.003072</f>
        <v>34637988.450455025</v>
      </c>
      <c r="R19" s="22">
        <f t="shared" si="3"/>
        <v>835491.4264550209</v>
      </c>
    </row>
    <row r="20" spans="2:18" x14ac:dyDescent="0.45">
      <c r="B20" s="25" t="s">
        <v>84</v>
      </c>
      <c r="C20" s="27">
        <v>0</v>
      </c>
      <c r="D20" s="22">
        <v>0</v>
      </c>
      <c r="E20" s="22">
        <v>0</v>
      </c>
      <c r="F20" s="22">
        <f t="shared" si="0"/>
        <v>0</v>
      </c>
      <c r="G20" s="22"/>
      <c r="H20" s="22">
        <v>0</v>
      </c>
      <c r="I20" s="22">
        <v>0</v>
      </c>
      <c r="J20" s="22">
        <f t="shared" si="1"/>
        <v>0</v>
      </c>
      <c r="K20" s="22"/>
      <c r="L20" s="22">
        <v>0</v>
      </c>
      <c r="M20" s="22">
        <v>0</v>
      </c>
      <c r="N20" s="22">
        <f t="shared" si="2"/>
        <v>0</v>
      </c>
      <c r="O20" s="22"/>
      <c r="P20" s="22">
        <v>0</v>
      </c>
      <c r="Q20" s="22">
        <v>0</v>
      </c>
      <c r="R20" s="22">
        <f t="shared" si="3"/>
        <v>0</v>
      </c>
    </row>
    <row r="21" spans="2:18" x14ac:dyDescent="0.45">
      <c r="B21" s="25" t="s">
        <v>85</v>
      </c>
      <c r="C21" s="27">
        <f>0.00085</f>
        <v>8.4999999999999995E-4</v>
      </c>
      <c r="D21" s="22">
        <f>'GAW-4-3 PC -TAI KWH &amp; KW Adj.'!F14*0.00085</f>
        <v>9228750.0499999989</v>
      </c>
      <c r="E21" s="22">
        <f>'GAW-4-3 PC -TAI KWH &amp; KW Adj.'!G14*0.00085</f>
        <v>9326457.5595442969</v>
      </c>
      <c r="F21" s="22">
        <f t="shared" si="0"/>
        <v>97707.509544298053</v>
      </c>
      <c r="G21" s="22"/>
      <c r="H21" s="22">
        <f>'GAW-4-3 PC -TAI KWH &amp; KW Adj.'!F15*0.00085</f>
        <v>9219509.6999999993</v>
      </c>
      <c r="I21" s="22">
        <f>'GAW-4-3 PC -TAI KWH &amp; KW Adj.'!G15*0.00085</f>
        <v>9412575.9381829519</v>
      </c>
      <c r="J21" s="22">
        <f t="shared" si="1"/>
        <v>193066.23818295263</v>
      </c>
      <c r="K21" s="22"/>
      <c r="L21" s="26" t="s">
        <v>91</v>
      </c>
      <c r="M21" s="26" t="s">
        <v>91</v>
      </c>
      <c r="N21" s="26" t="s">
        <v>91</v>
      </c>
      <c r="O21" s="22"/>
      <c r="P21" s="26" t="s">
        <v>91</v>
      </c>
      <c r="Q21" s="26" t="s">
        <v>91</v>
      </c>
      <c r="R21" s="26" t="s">
        <v>91</v>
      </c>
    </row>
    <row r="22" spans="2:18" x14ac:dyDescent="0.45">
      <c r="B22" s="25" t="s">
        <v>86</v>
      </c>
      <c r="C22" s="27">
        <f>-0.000884</f>
        <v>-8.8400000000000002E-4</v>
      </c>
      <c r="D22" s="22">
        <f>'GAW-4-3 PC -TAI KWH &amp; KW Adj.'!F14*-0.000884</f>
        <v>-9597900.0520000011</v>
      </c>
      <c r="E22" s="22">
        <f>'GAW-4-3 PC -TAI KWH &amp; KW Adj.'!G14*-0.000884</f>
        <v>-9699515.8619260713</v>
      </c>
      <c r="F22" s="22">
        <f t="shared" si="0"/>
        <v>-101615.80992607027</v>
      </c>
      <c r="G22" s="22"/>
      <c r="H22" s="22">
        <f>'GAW-4-3 PC -TAI KWH &amp; KW Adj.'!F15*-0.000884</f>
        <v>-9588290.0879999995</v>
      </c>
      <c r="I22" s="22">
        <f>'GAW-4-3 PC -TAI KWH &amp; KW Adj.'!G15*-0.000884</f>
        <v>-9789078.9757102691</v>
      </c>
      <c r="J22" s="22">
        <f t="shared" si="1"/>
        <v>-200788.88771026954</v>
      </c>
      <c r="K22" s="22"/>
      <c r="L22" s="22">
        <f>'GAW-4-3 PC -TAI KWH &amp; KW Adj.'!F16*-0.000884</f>
        <v>-9682693.3320000004</v>
      </c>
      <c r="M22" s="22">
        <f>'GAW-4-3 PC -TAI KWH &amp; KW Adj.'!G16*-0.000884</f>
        <v>-9879238.1254345234</v>
      </c>
      <c r="N22" s="22">
        <f>M22-L22</f>
        <v>-196544.79343452305</v>
      </c>
      <c r="O22" s="22"/>
      <c r="P22" s="22">
        <f>'GAW-4-3 PC -TAI KWH &amp; KW Adj.'!F17*-0.000884</f>
        <v>-9727020.6280000005</v>
      </c>
      <c r="Q22" s="22">
        <f>'GAW-4-3 PC -TAI KWH &amp; KW Adj.'!G17*-0.000884</f>
        <v>-9967441.9889981262</v>
      </c>
      <c r="R22" s="22">
        <f>Q22-P22</f>
        <v>-240421.36099812575</v>
      </c>
    </row>
    <row r="23" spans="2:18" x14ac:dyDescent="0.45">
      <c r="B23" s="25" t="s">
        <v>87</v>
      </c>
      <c r="C23" s="27">
        <f>-0.000417</f>
        <v>-4.17E-4</v>
      </c>
      <c r="D23" s="22">
        <f>'GAW-4-3 PC -TAI KWH &amp; KW Adj.'!F14*-0.000417</f>
        <v>-4527516.2010000004</v>
      </c>
      <c r="E23" s="22">
        <f>'GAW-4-3 PC -TAI KWH &amp; KW Adj.'!G14*-0.000417</f>
        <v>-4575450.3556823209</v>
      </c>
      <c r="F23" s="22">
        <f t="shared" si="0"/>
        <v>-47934.154682320543</v>
      </c>
      <c r="G23" s="22"/>
      <c r="H23" s="22">
        <f>'GAW-4-3 PC -TAI KWH &amp; KW Adj.'!F15*-0.000417</f>
        <v>-4522982.9939999999</v>
      </c>
      <c r="I23" s="22">
        <f>'GAW-4-3 PC -TAI KWH &amp; KW Adj.'!G15*-0.000417</f>
        <v>-4617699.0190850478</v>
      </c>
      <c r="J23" s="22">
        <f t="shared" si="1"/>
        <v>-94716.025085047819</v>
      </c>
      <c r="K23" s="22"/>
      <c r="L23" s="22">
        <f>'GAW-4-3 PC -TAI KWH &amp; KW Adj.'!F16*-0.000417</f>
        <v>-4567514.841</v>
      </c>
      <c r="M23" s="22">
        <f>'GAW-4-3 PC -TAI KWH &amp; KW Adj.'!G16*-0.000417</f>
        <v>-4660228.8442377783</v>
      </c>
      <c r="N23" s="22">
        <f>M23-L23</f>
        <v>-92714.003237778321</v>
      </c>
      <c r="O23" s="22"/>
      <c r="P23" s="22">
        <f>'GAW-4-3 PC -TAI KWH &amp; KW Adj.'!F17*-0.000417</f>
        <v>-4588424.8890000004</v>
      </c>
      <c r="Q23" s="22">
        <f>'GAW-4-3 PC -TAI KWH &amp; KW Adj.'!G17*-0.000417</f>
        <v>-4701836.3228645008</v>
      </c>
      <c r="R23" s="22">
        <f>Q23-P23</f>
        <v>-113411.43386450037</v>
      </c>
    </row>
    <row r="24" spans="2:18" x14ac:dyDescent="0.45">
      <c r="B24" s="25" t="s">
        <v>88</v>
      </c>
      <c r="C24" s="27">
        <f>0.000314</f>
        <v>3.1399999999999999E-4</v>
      </c>
      <c r="D24" s="22">
        <f>'GAW-4-3 PC -TAI KWH &amp; KW Adj.'!F14*0.000314</f>
        <v>3409208.8419999997</v>
      </c>
      <c r="E24" s="22">
        <f>'GAW-4-3 PC -TAI KWH &amp; KW Adj.'!G14*0.000314</f>
        <v>3445303.1455257758</v>
      </c>
      <c r="F24" s="22">
        <f t="shared" si="0"/>
        <v>36094.303525776137</v>
      </c>
      <c r="G24" s="22"/>
      <c r="H24" s="22">
        <f>'GAW-4-3 PC -TAI KWH &amp; KW Adj.'!F15*0.000314</f>
        <v>3405795.3479999998</v>
      </c>
      <c r="I24" s="22">
        <f>'GAW-4-3 PC -TAI KWH &amp; KW Adj.'!G15*0.000314</f>
        <v>3477116.2877522903</v>
      </c>
      <c r="J24" s="22">
        <f t="shared" si="1"/>
        <v>71320.939752290491</v>
      </c>
      <c r="K24" s="22"/>
      <c r="L24" s="22">
        <v>0</v>
      </c>
      <c r="M24" s="22">
        <v>0</v>
      </c>
      <c r="N24" s="22">
        <f>M24-L24</f>
        <v>0</v>
      </c>
      <c r="O24" s="22"/>
      <c r="P24" s="22">
        <v>0</v>
      </c>
      <c r="Q24" s="22">
        <v>0</v>
      </c>
      <c r="R24" s="22">
        <f>Q24-P24</f>
        <v>0</v>
      </c>
    </row>
    <row r="25" spans="2:18" x14ac:dyDescent="0.45">
      <c r="B25" s="25" t="s">
        <v>89</v>
      </c>
      <c r="C25" s="27">
        <f>-0.006689136</f>
        <v>-6.689136E-3</v>
      </c>
      <c r="D25" s="22">
        <f>'GAW-4-3 PC -TAI KWH &amp; KW Adj.'!F14*-0.006689136</f>
        <v>-72626310.817008004</v>
      </c>
      <c r="E25" s="22">
        <f>'GAW-4-3 PC -TAI KWH &amp; KW Adj.'!G14*-0.006689136</f>
        <v>-73395227.075317547</v>
      </c>
      <c r="F25" s="22">
        <f t="shared" si="0"/>
        <v>-768916.25830954313</v>
      </c>
      <c r="G25" s="22"/>
      <c r="H25" s="22">
        <f>'GAW-4-3 PC -TAI KWH &amp; KW Adj.'!F15*-0.006689136</f>
        <v>-72553593.219551995</v>
      </c>
      <c r="I25" s="22">
        <f>'GAW-4-3 PC -TAI KWH &amp; KW Adj.'!G15*-0.006689136</f>
        <v>-74072941.836274534</v>
      </c>
      <c r="J25" s="22">
        <f t="shared" si="1"/>
        <v>-1519348.6167225391</v>
      </c>
      <c r="K25" s="22"/>
      <c r="L25" s="22">
        <f>'GAW-4-3 PC -TAI KWH &amp; KW Adj.'!F16*-0.006689136</f>
        <v>-73267932.742128</v>
      </c>
      <c r="M25" s="22">
        <f>'GAW-4-3 PC -TAI KWH &amp; KW Adj.'!G16*-0.006689136</f>
        <v>-74755166.739159033</v>
      </c>
      <c r="N25" s="22">
        <f>M25-L25</f>
        <v>-1487233.997031033</v>
      </c>
      <c r="O25" s="22"/>
      <c r="P25" s="22">
        <f>'GAW-4-3 PC -TAI KWH &amp; KW Adj.'!F17*-0.006689136</f>
        <v>-73603352.777712002</v>
      </c>
      <c r="Q25" s="22">
        <f>'GAW-4-3 PC -TAI KWH &amp; KW Adj.'!G17*-0.006689136</f>
        <v>-75422596.1951572</v>
      </c>
      <c r="R25" s="22">
        <f>Q25-P25</f>
        <v>-1819243.4174451977</v>
      </c>
    </row>
    <row r="26" spans="2:18" x14ac:dyDescent="0.45"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2:18" x14ac:dyDescent="0.45">
      <c r="B27" t="s">
        <v>95</v>
      </c>
      <c r="D27" s="22">
        <f>SUM(D10:D25)</f>
        <v>1240646291.7254255</v>
      </c>
      <c r="E27" s="22">
        <f>SUM(E10:E25)</f>
        <v>1252748567.5727863</v>
      </c>
      <c r="F27" s="22">
        <f>E27-D27</f>
        <v>12102275.847360849</v>
      </c>
      <c r="G27" s="22"/>
      <c r="H27" s="22">
        <f>SUM(H10:H25)</f>
        <v>1240674574.8886249</v>
      </c>
      <c r="I27" s="22">
        <f>SUM(I10:I25)</f>
        <v>1264586317.681958</v>
      </c>
      <c r="J27" s="22">
        <f>I27-H27</f>
        <v>23911742.793333054</v>
      </c>
      <c r="K27" s="22"/>
      <c r="L27" s="22"/>
      <c r="M27" s="22"/>
      <c r="N27" s="22"/>
      <c r="O27" s="22"/>
      <c r="P27" s="22"/>
      <c r="Q27" s="22"/>
      <c r="R27" s="22"/>
    </row>
    <row r="28" spans="2:18" x14ac:dyDescent="0.45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2:18" x14ac:dyDescent="0.45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18" x14ac:dyDescent="0.45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2:18" x14ac:dyDescent="0.45"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2:18" x14ac:dyDescent="0.4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4:18" x14ac:dyDescent="0.45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4:18" x14ac:dyDescent="0.45"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4:18" x14ac:dyDescent="0.45"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4:18" x14ac:dyDescent="0.45"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4:18" x14ac:dyDescent="0.45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4:18" x14ac:dyDescent="0.45"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4:18" x14ac:dyDescent="0.45"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4:18" x14ac:dyDescent="0.4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4:18" x14ac:dyDescent="0.4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4:18" x14ac:dyDescent="0.45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4:18" x14ac:dyDescent="0.45"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4:18" x14ac:dyDescent="0.45"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4:18" x14ac:dyDescent="0.45"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4:18" x14ac:dyDescent="0.45"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4:18" x14ac:dyDescent="0.45"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4:18" x14ac:dyDescent="0.45"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4:18" x14ac:dyDescent="0.45"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4:18" x14ac:dyDescent="0.45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</sheetData>
  <mergeCells count="7">
    <mergeCell ref="D6:F6"/>
    <mergeCell ref="H6:J6"/>
    <mergeCell ref="L6:N6"/>
    <mergeCell ref="P6:R6"/>
    <mergeCell ref="A2:R2"/>
    <mergeCell ref="A3:R3"/>
    <mergeCell ref="A4:R4"/>
  </mergeCells>
  <pageMargins left="0.7" right="0.7" top="0.75" bottom="0.75" header="0.3" footer="0.3"/>
  <pageSetup scale="57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workbookViewId="0">
      <selection activeCell="G24" sqref="G24"/>
    </sheetView>
  </sheetViews>
  <sheetFormatPr defaultRowHeight="14.25" x14ac:dyDescent="0.45"/>
  <cols>
    <col min="1" max="1" width="3.73046875" customWidth="1"/>
    <col min="2" max="2" width="33.796875" customWidth="1"/>
    <col min="3" max="5" width="10.59765625" customWidth="1"/>
    <col min="6" max="7" width="13.9296875" bestFit="1" customWidth="1"/>
    <col min="8" max="8" width="13.06640625" customWidth="1"/>
    <col min="9" max="9" width="2.265625" customWidth="1"/>
    <col min="10" max="10" width="16.06640625" bestFit="1" customWidth="1"/>
    <col min="11" max="11" width="13.9296875" bestFit="1" customWidth="1"/>
    <col min="12" max="12" width="11.73046875" customWidth="1"/>
    <col min="13" max="13" width="1.9296875" customWidth="1"/>
    <col min="14" max="15" width="13.9296875" bestFit="1" customWidth="1"/>
    <col min="16" max="16" width="11.33203125" bestFit="1" customWidth="1"/>
    <col min="17" max="17" width="1.33203125" customWidth="1"/>
    <col min="18" max="18" width="13.9296875" bestFit="1" customWidth="1"/>
    <col min="19" max="19" width="14" bestFit="1" customWidth="1"/>
    <col min="20" max="20" width="11.33203125" bestFit="1" customWidth="1"/>
  </cols>
  <sheetData>
    <row r="1" spans="1:20" x14ac:dyDescent="0.45">
      <c r="J1" s="1"/>
    </row>
    <row r="2" spans="1:20" ht="18" x14ac:dyDescent="0.55000000000000004">
      <c r="A2" s="121" t="s">
        <v>128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3" spans="1:20" ht="18" x14ac:dyDescent="0.55000000000000004">
      <c r="A3" s="121" t="s">
        <v>94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</row>
    <row r="4" spans="1:20" ht="18" x14ac:dyDescent="0.55000000000000004">
      <c r="A4" s="121" t="s">
        <v>99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</row>
    <row r="5" spans="1:20" x14ac:dyDescent="0.4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x14ac:dyDescent="0.45">
      <c r="C6" s="119" t="s">
        <v>108</v>
      </c>
      <c r="D6" s="119"/>
      <c r="E6" s="119"/>
      <c r="F6" s="119">
        <v>2022</v>
      </c>
      <c r="G6" s="119"/>
      <c r="H6" s="119"/>
      <c r="I6" s="5"/>
      <c r="J6" s="119">
        <v>2023</v>
      </c>
      <c r="K6" s="119"/>
      <c r="L6" s="119"/>
      <c r="M6" s="5"/>
      <c r="N6" s="119">
        <v>2024</v>
      </c>
      <c r="O6" s="119"/>
      <c r="P6" s="119"/>
      <c r="Q6" s="5"/>
      <c r="R6" s="119">
        <v>2025</v>
      </c>
      <c r="S6" s="119"/>
      <c r="T6" s="119"/>
    </row>
    <row r="7" spans="1:20" x14ac:dyDescent="0.45">
      <c r="D7" s="122" t="s">
        <v>109</v>
      </c>
      <c r="E7" s="122"/>
      <c r="F7" s="5" t="s">
        <v>48</v>
      </c>
      <c r="G7" s="5" t="s">
        <v>74</v>
      </c>
      <c r="H7" s="5" t="s">
        <v>74</v>
      </c>
      <c r="I7" s="5"/>
      <c r="J7" s="5" t="s">
        <v>48</v>
      </c>
      <c r="K7" s="5" t="s">
        <v>74</v>
      </c>
      <c r="L7" s="5" t="s">
        <v>74</v>
      </c>
      <c r="M7" s="5"/>
      <c r="N7" s="5" t="s">
        <v>48</v>
      </c>
      <c r="O7" s="5" t="s">
        <v>74</v>
      </c>
      <c r="P7" s="5" t="s">
        <v>74</v>
      </c>
      <c r="Q7" s="5"/>
      <c r="R7" s="5" t="s">
        <v>48</v>
      </c>
      <c r="S7" s="5" t="s">
        <v>74</v>
      </c>
      <c r="T7" s="5" t="s">
        <v>74</v>
      </c>
    </row>
    <row r="8" spans="1:20" x14ac:dyDescent="0.45">
      <c r="C8" s="48" t="s">
        <v>51</v>
      </c>
      <c r="D8" s="48" t="s">
        <v>110</v>
      </c>
      <c r="E8" s="48" t="s">
        <v>111</v>
      </c>
      <c r="F8" s="19" t="s">
        <v>58</v>
      </c>
      <c r="G8" s="19" t="s">
        <v>58</v>
      </c>
      <c r="H8" s="19" t="s">
        <v>49</v>
      </c>
      <c r="I8" s="5"/>
      <c r="J8" s="19" t="s">
        <v>58</v>
      </c>
      <c r="K8" s="19" t="s">
        <v>58</v>
      </c>
      <c r="L8" s="19" t="s">
        <v>49</v>
      </c>
      <c r="M8" s="5"/>
      <c r="N8" s="19" t="s">
        <v>58</v>
      </c>
      <c r="O8" s="19" t="s">
        <v>58</v>
      </c>
      <c r="P8" s="19" t="s">
        <v>49</v>
      </c>
      <c r="Q8" s="5"/>
      <c r="R8" s="19" t="s">
        <v>58</v>
      </c>
      <c r="S8" s="19" t="s">
        <v>58</v>
      </c>
      <c r="T8" s="19" t="s">
        <v>49</v>
      </c>
    </row>
    <row r="9" spans="1:20" x14ac:dyDescent="0.45">
      <c r="A9" s="23" t="s">
        <v>90</v>
      </c>
    </row>
    <row r="10" spans="1:20" x14ac:dyDescent="0.45">
      <c r="B10" t="s">
        <v>75</v>
      </c>
      <c r="C10" s="27">
        <f>1053163/14336000</f>
        <v>7.3462820870535711E-2</v>
      </c>
      <c r="D10" s="34">
        <v>9.2200000000000006</v>
      </c>
      <c r="E10" s="34">
        <v>4.54</v>
      </c>
      <c r="F10" s="22">
        <v>1248001</v>
      </c>
      <c r="G10" s="22">
        <f>+('GAW-4-3 PC -TAI KWH &amp; KW Adj.'!G29*'GAW-5-5 Sch.29-Rev. @ Curr Rate'!C10)+('GAW-4-3 PC -TAI KWH &amp; KW Adj.'!O29*'GAW-5-5 Sch.29-Rev. @ Curr Rate'!D10)+('GAW-4-3 PC -TAI KWH &amp; KW Adj.'!W29*'GAW-5-5 Sch.29-Rev. @ Curr Rate'!E10)+164450+902</f>
        <v>1340197.8186981834</v>
      </c>
      <c r="H10" s="22">
        <f>G10-F10</f>
        <v>92196.818698183401</v>
      </c>
      <c r="I10" s="22"/>
      <c r="J10" s="22">
        <v>1275277</v>
      </c>
      <c r="K10" s="22">
        <f>+('GAW-4-3 PC -TAI KWH &amp; KW Adj.'!G30*'GAW-5-5 Sch.29-Rev. @ Curr Rate'!C10)+('GAW-4-3 PC -TAI KWH &amp; KW Adj.'!O30*'GAW-5-5 Sch.29-Rev. @ Curr Rate'!D10)+('GAW-4-3 PC -TAI KWH &amp; KW Adj.'!W30*'GAW-5-5 Sch.29-Rev. @ Curr Rate'!E10)+166151+929</f>
        <v>1353914.0413379606</v>
      </c>
      <c r="L10" s="22">
        <f>K10-J10</f>
        <v>78637.041337960633</v>
      </c>
      <c r="M10" s="22"/>
      <c r="N10" s="22">
        <v>1285576</v>
      </c>
      <c r="O10" s="22">
        <f>+('GAW-4-3 PC -TAI KWH &amp; KW Adj.'!G31*'GAW-5-5 Sch.29-Rev. @ Curr Rate'!C10)+('GAW-4-3 PC -TAI KWH &amp; KW Adj.'!O31*'GAW-5-5 Sch.29-Rev. @ Curr Rate'!D10)+('GAW-4-3 PC -TAI KWH &amp; KW Adj.'!W31*'GAW-5-5 Sch.29-Rev. @ Curr Rate'!E10)+167780+943</f>
        <v>1367397.2612290985</v>
      </c>
      <c r="P10" s="22">
        <f>O10-N10</f>
        <v>81821.261229098542</v>
      </c>
      <c r="Q10" s="22"/>
      <c r="R10" s="22">
        <v>1286375</v>
      </c>
      <c r="S10" s="22">
        <f>+('GAW-4-3 PC -TAI KWH &amp; KW Adj.'!G32*'GAW-5-5 Sch.29-Rev. @ Curr Rate'!C10)+('GAW-4-3 PC -TAI KWH &amp; KW Adj.'!O32*'GAW-5-5 Sch.29-Rev. @ Curr Rate'!D10)+('GAW-4-3 PC -TAI KWH &amp; KW Adj.'!W32*'GAW-5-5 Sch.29-Rev. @ Curr Rate'!E10)+169344+938</f>
        <v>1380056.4673770408</v>
      </c>
      <c r="T10" s="22">
        <f>S10-R10</f>
        <v>93681.467377040768</v>
      </c>
    </row>
    <row r="11" spans="1:20" x14ac:dyDescent="0.45"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20" x14ac:dyDescent="0.45">
      <c r="B12" s="25" t="s">
        <v>76</v>
      </c>
      <c r="C12" s="35" t="s">
        <v>112</v>
      </c>
      <c r="D12" s="27"/>
      <c r="E12" s="27"/>
      <c r="F12" s="22"/>
      <c r="G12" s="22"/>
      <c r="H12" s="22"/>
      <c r="I12" s="22"/>
      <c r="J12" s="22"/>
      <c r="K12" s="22"/>
      <c r="L12" s="22"/>
      <c r="M12" s="22"/>
      <c r="N12" s="26"/>
      <c r="O12" s="26"/>
      <c r="P12" s="26"/>
      <c r="Q12" s="22"/>
      <c r="R12" s="26"/>
      <c r="S12" s="26"/>
      <c r="T12" s="26"/>
    </row>
    <row r="13" spans="1:20" x14ac:dyDescent="0.45">
      <c r="B13" s="25" t="s">
        <v>77</v>
      </c>
      <c r="C13" s="27"/>
      <c r="D13" s="27"/>
      <c r="E13" s="27"/>
      <c r="F13" s="22"/>
      <c r="G13" s="22"/>
      <c r="H13" s="22"/>
      <c r="I13" s="22"/>
      <c r="J13" s="22"/>
      <c r="K13" s="22"/>
      <c r="L13" s="22"/>
      <c r="M13" s="22"/>
      <c r="N13" s="26"/>
      <c r="O13" s="26"/>
      <c r="P13" s="26"/>
      <c r="Q13" s="22"/>
      <c r="R13" s="26"/>
      <c r="S13" s="26"/>
      <c r="T13" s="26"/>
    </row>
    <row r="14" spans="1:20" x14ac:dyDescent="0.45">
      <c r="B14" s="25" t="s">
        <v>78</v>
      </c>
      <c r="C14" s="27"/>
      <c r="D14" s="27"/>
      <c r="E14" s="27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x14ac:dyDescent="0.45">
      <c r="B15" s="25" t="s">
        <v>79</v>
      </c>
      <c r="C15" s="27"/>
      <c r="D15" s="27"/>
      <c r="E15" s="27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x14ac:dyDescent="0.45">
      <c r="B16" s="25" t="s">
        <v>80</v>
      </c>
      <c r="C16" s="27"/>
      <c r="D16" s="27"/>
      <c r="E16" s="27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2:20" x14ac:dyDescent="0.45">
      <c r="B17" s="25" t="s">
        <v>81</v>
      </c>
      <c r="C17" s="27"/>
      <c r="D17" s="27"/>
      <c r="E17" s="27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2:20" x14ac:dyDescent="0.45">
      <c r="B18" s="25" t="s">
        <v>82</v>
      </c>
      <c r="C18" s="27"/>
      <c r="D18" s="27"/>
      <c r="E18" s="2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2:20" x14ac:dyDescent="0.45">
      <c r="B19" s="25" t="s">
        <v>83</v>
      </c>
      <c r="C19" s="27"/>
      <c r="D19" s="27"/>
      <c r="E19" s="27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2:20" x14ac:dyDescent="0.45">
      <c r="B20" s="25" t="s">
        <v>84</v>
      </c>
      <c r="C20" s="27"/>
      <c r="D20" s="27"/>
      <c r="E20" s="27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2:20" x14ac:dyDescent="0.45">
      <c r="B21" s="25" t="s">
        <v>85</v>
      </c>
      <c r="C21" s="27"/>
      <c r="D21" s="27"/>
      <c r="E21" s="27"/>
      <c r="F21" s="22"/>
      <c r="G21" s="22"/>
      <c r="H21" s="22"/>
      <c r="I21" s="22"/>
      <c r="J21" s="22"/>
      <c r="K21" s="22"/>
      <c r="L21" s="22"/>
      <c r="M21" s="22"/>
      <c r="N21" s="26"/>
      <c r="O21" s="26"/>
      <c r="P21" s="26"/>
      <c r="Q21" s="22"/>
      <c r="R21" s="26"/>
      <c r="S21" s="26"/>
      <c r="T21" s="26"/>
    </row>
    <row r="22" spans="2:20" x14ac:dyDescent="0.45">
      <c r="B22" s="25" t="s">
        <v>86</v>
      </c>
      <c r="C22" s="27"/>
      <c r="D22" s="27"/>
      <c r="E22" s="27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2:20" x14ac:dyDescent="0.45">
      <c r="B23" s="25" t="s">
        <v>87</v>
      </c>
      <c r="C23" s="27"/>
      <c r="D23" s="27"/>
      <c r="E23" s="27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2:20" x14ac:dyDescent="0.45">
      <c r="B24" s="25" t="s">
        <v>88</v>
      </c>
      <c r="C24" s="27"/>
      <c r="D24" s="27"/>
      <c r="E24" s="27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2:20" x14ac:dyDescent="0.45">
      <c r="B25" s="25" t="s">
        <v>89</v>
      </c>
      <c r="C25" s="27"/>
      <c r="D25" s="27"/>
      <c r="E25" s="27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2:20" x14ac:dyDescent="0.45"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2:20" x14ac:dyDescent="0.45">
      <c r="B27" t="s">
        <v>95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2:20" x14ac:dyDescent="0.45"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2:20" x14ac:dyDescent="0.45"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2:20" x14ac:dyDescent="0.45"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2:20" x14ac:dyDescent="0.45"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2:20" x14ac:dyDescent="0.45"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6:20" x14ac:dyDescent="0.45"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6:20" x14ac:dyDescent="0.45"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6:20" x14ac:dyDescent="0.45"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6:20" x14ac:dyDescent="0.45"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6:20" x14ac:dyDescent="0.45"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6:20" x14ac:dyDescent="0.45"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6:20" x14ac:dyDescent="0.45"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6:20" x14ac:dyDescent="0.45"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6:20" x14ac:dyDescent="0.45"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6:20" x14ac:dyDescent="0.45"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6:20" x14ac:dyDescent="0.45"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  <row r="44" spans="6:20" x14ac:dyDescent="0.45"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6:20" x14ac:dyDescent="0.45"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6:20" x14ac:dyDescent="0.45"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6:20" x14ac:dyDescent="0.45"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6:20" x14ac:dyDescent="0.45"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6:20" x14ac:dyDescent="0.45"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6:20" x14ac:dyDescent="0.45"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</sheetData>
  <mergeCells count="9">
    <mergeCell ref="C6:E6"/>
    <mergeCell ref="D7:E7"/>
    <mergeCell ref="A2:T2"/>
    <mergeCell ref="A3:T3"/>
    <mergeCell ref="F6:H6"/>
    <mergeCell ref="J6:L6"/>
    <mergeCell ref="N6:P6"/>
    <mergeCell ref="R6:T6"/>
    <mergeCell ref="A4:T4"/>
  </mergeCells>
  <pageMargins left="0.7" right="0.7" top="0.75" bottom="0.75" header="0.3" footer="0.3"/>
  <pageSetup scale="52" fitToHeight="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workbookViewId="0">
      <selection activeCell="E12" sqref="E12"/>
    </sheetView>
  </sheetViews>
  <sheetFormatPr defaultRowHeight="14.25" x14ac:dyDescent="0.45"/>
  <cols>
    <col min="1" max="1" width="3.73046875" customWidth="1"/>
    <col min="2" max="2" width="33.796875" customWidth="1"/>
    <col min="3" max="4" width="10.59765625" customWidth="1"/>
    <col min="5" max="6" width="13.9296875" bestFit="1" customWidth="1"/>
    <col min="7" max="7" width="13.06640625" customWidth="1"/>
    <col min="8" max="8" width="2.265625" customWidth="1"/>
    <col min="9" max="9" width="16.06640625" bestFit="1" customWidth="1"/>
    <col min="10" max="10" width="13.9296875" bestFit="1" customWidth="1"/>
    <col min="11" max="11" width="11.73046875" customWidth="1"/>
    <col min="12" max="12" width="1.9296875" customWidth="1"/>
    <col min="13" max="14" width="13.9296875" bestFit="1" customWidth="1"/>
    <col min="15" max="15" width="11.33203125" bestFit="1" customWidth="1"/>
    <col min="16" max="16" width="1.33203125" customWidth="1"/>
    <col min="17" max="17" width="13.9296875" bestFit="1" customWidth="1"/>
    <col min="18" max="18" width="14" bestFit="1" customWidth="1"/>
    <col min="19" max="19" width="11.33203125" bestFit="1" customWidth="1"/>
  </cols>
  <sheetData>
    <row r="1" spans="1:19" x14ac:dyDescent="0.45">
      <c r="I1" s="1"/>
    </row>
    <row r="2" spans="1:19" ht="18" x14ac:dyDescent="0.55000000000000004">
      <c r="A2" s="121" t="s">
        <v>128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ht="18" x14ac:dyDescent="0.55000000000000004">
      <c r="A3" s="121" t="s">
        <v>94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ht="18" x14ac:dyDescent="0.55000000000000004">
      <c r="A4" s="121" t="s">
        <v>100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19" x14ac:dyDescent="0.4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x14ac:dyDescent="0.45">
      <c r="C6" s="118"/>
      <c r="D6" s="118"/>
      <c r="E6" s="119">
        <v>2022</v>
      </c>
      <c r="F6" s="119"/>
      <c r="G6" s="119"/>
      <c r="H6" s="5"/>
      <c r="I6" s="119">
        <v>2023</v>
      </c>
      <c r="J6" s="119"/>
      <c r="K6" s="119"/>
      <c r="L6" s="5"/>
      <c r="M6" s="119">
        <v>2024</v>
      </c>
      <c r="N6" s="119"/>
      <c r="O6" s="119"/>
      <c r="P6" s="5"/>
      <c r="Q6" s="119">
        <v>2025</v>
      </c>
      <c r="R6" s="119"/>
      <c r="S6" s="119"/>
    </row>
    <row r="7" spans="1:19" x14ac:dyDescent="0.45">
      <c r="C7" s="119" t="s">
        <v>108</v>
      </c>
      <c r="D7" s="119"/>
      <c r="E7" s="5" t="s">
        <v>48</v>
      </c>
      <c r="F7" s="5" t="s">
        <v>74</v>
      </c>
      <c r="G7" s="5" t="s">
        <v>74</v>
      </c>
      <c r="H7" s="5"/>
      <c r="I7" s="5" t="s">
        <v>48</v>
      </c>
      <c r="J7" s="5" t="s">
        <v>74</v>
      </c>
      <c r="K7" s="5" t="s">
        <v>74</v>
      </c>
      <c r="L7" s="5"/>
      <c r="M7" s="5" t="s">
        <v>48</v>
      </c>
      <c r="N7" s="5" t="s">
        <v>74</v>
      </c>
      <c r="O7" s="5" t="s">
        <v>74</v>
      </c>
      <c r="P7" s="5"/>
      <c r="Q7" s="5" t="s">
        <v>48</v>
      </c>
      <c r="R7" s="5" t="s">
        <v>74</v>
      </c>
      <c r="S7" s="5" t="s">
        <v>74</v>
      </c>
    </row>
    <row r="8" spans="1:19" x14ac:dyDescent="0.45">
      <c r="C8" s="19" t="s">
        <v>51</v>
      </c>
      <c r="D8" s="19" t="s">
        <v>109</v>
      </c>
      <c r="E8" s="19" t="s">
        <v>58</v>
      </c>
      <c r="F8" s="19" t="s">
        <v>58</v>
      </c>
      <c r="G8" s="19" t="s">
        <v>49</v>
      </c>
      <c r="H8" s="5"/>
      <c r="I8" s="19" t="s">
        <v>58</v>
      </c>
      <c r="J8" s="19" t="s">
        <v>58</v>
      </c>
      <c r="K8" s="19" t="s">
        <v>49</v>
      </c>
      <c r="L8" s="5"/>
      <c r="M8" s="19" t="s">
        <v>58</v>
      </c>
      <c r="N8" s="19" t="s">
        <v>58</v>
      </c>
      <c r="O8" s="19" t="s">
        <v>49</v>
      </c>
      <c r="P8" s="5"/>
      <c r="Q8" s="19" t="s">
        <v>58</v>
      </c>
      <c r="R8" s="19" t="s">
        <v>58</v>
      </c>
      <c r="S8" s="19" t="s">
        <v>49</v>
      </c>
    </row>
    <row r="9" spans="1:19" x14ac:dyDescent="0.45">
      <c r="A9" s="23" t="s">
        <v>90</v>
      </c>
    </row>
    <row r="10" spans="1:19" x14ac:dyDescent="0.45">
      <c r="B10" t="s">
        <v>75</v>
      </c>
      <c r="C10" s="27">
        <v>5.2347999999999999E-2</v>
      </c>
      <c r="D10" s="34">
        <v>3.04</v>
      </c>
      <c r="E10" s="22">
        <v>5173244</v>
      </c>
      <c r="F10" s="22">
        <f>('GAW-4-3 PC -TAI KWH &amp; KW Adj.'!G44*'GAW-5-6 Sch.46-Rev. @ Curr Rate'!C10)+('GAW-4-3 PC -TAI KWH &amp; KW Adj.'!O44*'GAW-5-6 Sch.46-Rev. @ Curr Rate'!D10)</f>
        <v>6524364.5497479998</v>
      </c>
      <c r="G10" s="22">
        <f>F10-E10</f>
        <v>1351120.5497479998</v>
      </c>
      <c r="H10" s="22"/>
      <c r="I10" s="22">
        <v>5123030</v>
      </c>
      <c r="J10" s="22">
        <f>F10</f>
        <v>6524364.5497479998</v>
      </c>
      <c r="K10" s="22">
        <f>J10-I10</f>
        <v>1401334.5497479998</v>
      </c>
      <c r="L10" s="22"/>
      <c r="M10" s="22">
        <v>5077889</v>
      </c>
      <c r="N10" s="22">
        <f>J10</f>
        <v>6524364.5497479998</v>
      </c>
      <c r="O10" s="22">
        <f>N10-M10</f>
        <v>1446475.5497479998</v>
      </c>
      <c r="P10" s="22"/>
      <c r="Q10" s="22">
        <v>5005738</v>
      </c>
      <c r="R10" s="22">
        <f>N10</f>
        <v>6524364.5497479998</v>
      </c>
      <c r="S10" s="22">
        <f>R10-Q10</f>
        <v>1518626.5497479998</v>
      </c>
    </row>
    <row r="11" spans="1:19" x14ac:dyDescent="0.45"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45">
      <c r="B12" s="25" t="s">
        <v>76</v>
      </c>
      <c r="C12" s="35" t="s">
        <v>112</v>
      </c>
      <c r="D12" s="27"/>
      <c r="E12" s="22"/>
      <c r="F12" s="22"/>
      <c r="G12" s="22"/>
      <c r="H12" s="22"/>
      <c r="I12" s="22"/>
      <c r="J12" s="22"/>
      <c r="K12" s="22"/>
      <c r="L12" s="22"/>
      <c r="M12" s="26"/>
      <c r="N12" s="26"/>
      <c r="O12" s="26"/>
      <c r="P12" s="22"/>
      <c r="Q12" s="26"/>
      <c r="R12" s="26"/>
      <c r="S12" s="26"/>
    </row>
    <row r="13" spans="1:19" x14ac:dyDescent="0.45">
      <c r="B13" s="25" t="s">
        <v>77</v>
      </c>
      <c r="C13" s="27"/>
      <c r="D13" s="27"/>
      <c r="E13" s="22"/>
      <c r="F13" s="22"/>
      <c r="G13" s="22"/>
      <c r="H13" s="22"/>
      <c r="I13" s="22"/>
      <c r="J13" s="22"/>
      <c r="K13" s="22"/>
      <c r="L13" s="22"/>
      <c r="M13" s="26"/>
      <c r="N13" s="26"/>
      <c r="O13" s="26"/>
      <c r="P13" s="22"/>
      <c r="Q13" s="26"/>
      <c r="R13" s="26"/>
      <c r="S13" s="26"/>
    </row>
    <row r="14" spans="1:19" x14ac:dyDescent="0.45">
      <c r="B14" s="25" t="s">
        <v>78</v>
      </c>
      <c r="C14" s="27"/>
      <c r="D14" s="27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45">
      <c r="B15" s="25" t="s">
        <v>79</v>
      </c>
      <c r="C15" s="27"/>
      <c r="D15" s="27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45">
      <c r="B16" s="25" t="s">
        <v>80</v>
      </c>
      <c r="C16" s="27"/>
      <c r="D16" s="27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2:19" x14ac:dyDescent="0.45">
      <c r="B17" s="25" t="s">
        <v>81</v>
      </c>
      <c r="C17" s="27"/>
      <c r="D17" s="27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2:19" x14ac:dyDescent="0.45">
      <c r="B18" s="25" t="s">
        <v>82</v>
      </c>
      <c r="C18" s="27"/>
      <c r="D18" s="27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2:19" x14ac:dyDescent="0.45">
      <c r="B19" s="25" t="s">
        <v>83</v>
      </c>
      <c r="C19" s="27"/>
      <c r="D19" s="27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2:19" x14ac:dyDescent="0.45">
      <c r="B20" s="25" t="s">
        <v>84</v>
      </c>
      <c r="C20" s="27"/>
      <c r="D20" s="27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2:19" x14ac:dyDescent="0.45">
      <c r="B21" s="25" t="s">
        <v>85</v>
      </c>
      <c r="C21" s="27"/>
      <c r="D21" s="27"/>
      <c r="E21" s="22"/>
      <c r="F21" s="22"/>
      <c r="G21" s="22"/>
      <c r="H21" s="22"/>
      <c r="I21" s="22"/>
      <c r="J21" s="22"/>
      <c r="K21" s="22"/>
      <c r="L21" s="22"/>
      <c r="M21" s="26"/>
      <c r="N21" s="26"/>
      <c r="O21" s="26"/>
      <c r="P21" s="22"/>
      <c r="Q21" s="26"/>
      <c r="R21" s="26"/>
      <c r="S21" s="26"/>
    </row>
    <row r="22" spans="2:19" x14ac:dyDescent="0.45">
      <c r="B22" s="25" t="s">
        <v>86</v>
      </c>
      <c r="C22" s="27"/>
      <c r="D22" s="27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2:19" x14ac:dyDescent="0.45">
      <c r="B23" s="25" t="s">
        <v>87</v>
      </c>
      <c r="C23" s="27"/>
      <c r="D23" s="27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2:19" x14ac:dyDescent="0.45">
      <c r="B24" s="25" t="s">
        <v>88</v>
      </c>
      <c r="C24" s="27"/>
      <c r="D24" s="27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2:19" x14ac:dyDescent="0.45">
      <c r="B25" s="25" t="s">
        <v>89</v>
      </c>
      <c r="C25" s="27"/>
      <c r="D25" s="27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2:19" x14ac:dyDescent="0.45"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2:19" x14ac:dyDescent="0.45">
      <c r="B27" t="s">
        <v>95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2:19" x14ac:dyDescent="0.45"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2:19" x14ac:dyDescent="0.45"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2:19" x14ac:dyDescent="0.45"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2:19" x14ac:dyDescent="0.45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2:19" x14ac:dyDescent="0.45"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5:19" x14ac:dyDescent="0.45"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5:19" x14ac:dyDescent="0.45"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5:19" x14ac:dyDescent="0.45"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5:19" x14ac:dyDescent="0.45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5:19" x14ac:dyDescent="0.45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5:19" x14ac:dyDescent="0.45"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5:19" x14ac:dyDescent="0.45"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5:19" x14ac:dyDescent="0.45"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5:19" x14ac:dyDescent="0.45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5:19" x14ac:dyDescent="0.45"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5:19" x14ac:dyDescent="0.45"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5:19" x14ac:dyDescent="0.45"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5:19" x14ac:dyDescent="0.45"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5:19" x14ac:dyDescent="0.45"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5:19" x14ac:dyDescent="0.45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5:19" x14ac:dyDescent="0.45"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5:19" x14ac:dyDescent="0.4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5:19" x14ac:dyDescent="0.45"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</sheetData>
  <mergeCells count="9">
    <mergeCell ref="C7:D7"/>
    <mergeCell ref="A2:S2"/>
    <mergeCell ref="A3:S3"/>
    <mergeCell ref="A4:S4"/>
    <mergeCell ref="C6:D6"/>
    <mergeCell ref="E6:G6"/>
    <mergeCell ref="I6:K6"/>
    <mergeCell ref="M6:O6"/>
    <mergeCell ref="Q6:S6"/>
  </mergeCells>
  <pageMargins left="0.7" right="0.7" top="0.75" bottom="0.75" header="0.3" footer="0.3"/>
  <pageSetup scale="55" fitToHeight="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workbookViewId="0">
      <selection activeCell="J21" sqref="J21"/>
    </sheetView>
  </sheetViews>
  <sheetFormatPr defaultRowHeight="14.25" x14ac:dyDescent="0.45"/>
  <cols>
    <col min="1" max="1" width="4.796875" customWidth="1"/>
    <col min="2" max="2" width="8.73046875" style="11"/>
    <col min="3" max="3" width="13" style="11" customWidth="1"/>
    <col min="4" max="4" width="12.33203125" style="11" customWidth="1"/>
    <col min="5" max="5" width="3.19921875" style="11" customWidth="1"/>
    <col min="6" max="7" width="14.53125" style="11" bestFit="1" customWidth="1"/>
    <col min="8" max="8" width="12" style="11" bestFit="1" customWidth="1"/>
    <col min="9" max="9" width="5.265625" customWidth="1"/>
    <col min="11" max="11" width="13.265625" customWidth="1"/>
    <col min="12" max="12" width="11.19921875" customWidth="1"/>
    <col min="13" max="13" width="1.796875" customWidth="1"/>
    <col min="14" max="14" width="10.9296875" customWidth="1"/>
    <col min="15" max="15" width="11.796875" customWidth="1"/>
    <col min="16" max="16" width="10.73046875" bestFit="1" customWidth="1"/>
    <col min="17" max="17" width="2" customWidth="1"/>
    <col min="19" max="19" width="11.73046875" customWidth="1"/>
    <col min="20" max="20" width="12.73046875" customWidth="1"/>
    <col min="21" max="21" width="1.73046875" customWidth="1"/>
    <col min="22" max="22" width="9.73046875" customWidth="1"/>
    <col min="23" max="23" width="9.53125" customWidth="1"/>
    <col min="24" max="24" width="10.53125" customWidth="1"/>
  </cols>
  <sheetData>
    <row r="1" spans="1:24" ht="16.899999999999999" x14ac:dyDescent="0.5">
      <c r="B1" s="131" t="s">
        <v>128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r="2" spans="1:24" ht="16.899999999999999" x14ac:dyDescent="0.5">
      <c r="B2" s="124" t="s">
        <v>132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4" hidden="1" x14ac:dyDescent="0.45"/>
    <row r="4" spans="1:24" ht="16.899999999999999" x14ac:dyDescent="0.5">
      <c r="B4" s="128" t="s">
        <v>101</v>
      </c>
      <c r="C4" s="129"/>
      <c r="D4" s="129"/>
      <c r="E4" s="129"/>
      <c r="F4" s="129"/>
      <c r="G4" s="129"/>
      <c r="H4" s="130"/>
    </row>
    <row r="5" spans="1:24" x14ac:dyDescent="0.45">
      <c r="B5" s="73"/>
      <c r="H5" s="74"/>
    </row>
    <row r="6" spans="1:24" x14ac:dyDescent="0.45">
      <c r="B6" s="126" t="s">
        <v>93</v>
      </c>
      <c r="C6" s="119"/>
      <c r="D6" s="119"/>
      <c r="E6" s="119"/>
      <c r="F6" s="119"/>
      <c r="G6" s="119"/>
      <c r="H6" s="127"/>
    </row>
    <row r="7" spans="1:24" x14ac:dyDescent="0.45">
      <c r="B7" s="73"/>
      <c r="C7" s="118" t="s">
        <v>71</v>
      </c>
      <c r="D7" s="118"/>
      <c r="F7" s="118" t="s">
        <v>73</v>
      </c>
      <c r="G7" s="118"/>
      <c r="H7" s="74"/>
    </row>
    <row r="8" spans="1:24" x14ac:dyDescent="0.45">
      <c r="B8" s="69" t="s">
        <v>56</v>
      </c>
      <c r="C8" s="38" t="s">
        <v>48</v>
      </c>
      <c r="D8" s="38" t="s">
        <v>42</v>
      </c>
      <c r="F8" s="38" t="s">
        <v>48</v>
      </c>
      <c r="G8" s="38" t="s">
        <v>42</v>
      </c>
      <c r="H8" s="70" t="s">
        <v>42</v>
      </c>
    </row>
    <row r="9" spans="1:24" x14ac:dyDescent="0.45">
      <c r="B9" s="90" t="s">
        <v>57</v>
      </c>
      <c r="C9" s="37" t="s">
        <v>58</v>
      </c>
      <c r="D9" s="37" t="s">
        <v>58</v>
      </c>
      <c r="F9" s="37" t="s">
        <v>58</v>
      </c>
      <c r="G9" s="37" t="s">
        <v>58</v>
      </c>
      <c r="H9" s="72" t="s">
        <v>49</v>
      </c>
    </row>
    <row r="10" spans="1:24" x14ac:dyDescent="0.45">
      <c r="B10" s="73"/>
      <c r="H10" s="74"/>
    </row>
    <row r="11" spans="1:24" x14ac:dyDescent="0.45">
      <c r="A11" s="23"/>
      <c r="B11" s="91" t="s">
        <v>72</v>
      </c>
      <c r="H11" s="74"/>
    </row>
    <row r="12" spans="1:24" x14ac:dyDescent="0.45">
      <c r="B12" s="92" t="s">
        <v>0</v>
      </c>
      <c r="C12" s="12">
        <f>'GAW-4-5 Pub. Counsel Forecast'!M9</f>
        <v>10676.957591427097</v>
      </c>
      <c r="D12" s="29">
        <f>C12</f>
        <v>10676.957591427097</v>
      </c>
      <c r="F12" s="12">
        <f>'GAW-4-5 Pub. Counsel Forecast'!E9</f>
        <v>11355354571.603521</v>
      </c>
      <c r="G12" s="29">
        <f>F12</f>
        <v>11355354571.603521</v>
      </c>
      <c r="H12" s="74">
        <v>0</v>
      </c>
    </row>
    <row r="13" spans="1:24" x14ac:dyDescent="0.45">
      <c r="A13" s="23"/>
      <c r="B13" s="91" t="s">
        <v>58</v>
      </c>
      <c r="F13" s="12"/>
      <c r="H13" s="74"/>
    </row>
    <row r="14" spans="1:24" x14ac:dyDescent="0.45">
      <c r="B14" s="73" t="s">
        <v>5</v>
      </c>
      <c r="C14" s="12">
        <f>+'GAW-4-4 PSE Forecast'!P7</f>
        <v>10007.669347474073</v>
      </c>
      <c r="D14" s="15">
        <f>'GAW-4-5 Pub. Counsel Forecast'!G35</f>
        <v>10113.623506269878</v>
      </c>
      <c r="F14" s="12">
        <f>'GAW-4-4 PSE Forecast'!D7*1000</f>
        <v>10857353000</v>
      </c>
      <c r="G14" s="12">
        <f>'GAW-4-5 Pub. Counsel Forecast'!I35</f>
        <v>10972303011.228586</v>
      </c>
      <c r="H14" s="88">
        <f>G14-F14</f>
        <v>114950011.2285862</v>
      </c>
    </row>
    <row r="15" spans="1:24" x14ac:dyDescent="0.45">
      <c r="B15" s="73" t="s">
        <v>1</v>
      </c>
      <c r="C15" s="12">
        <f>'GAW-4-4 PSE Forecast'!Q7</f>
        <v>9869.8893485883455</v>
      </c>
      <c r="D15" s="12">
        <f>'GAW-4-5 Pub. Counsel Forecast'!E49</f>
        <v>10076.575221245319</v>
      </c>
      <c r="F15" s="12">
        <f>'GAW-4-4 PSE Forecast'!E7*1000</f>
        <v>10846482000</v>
      </c>
      <c r="G15" s="12">
        <f>'GAW-4-5 Pub. Counsel Forecast'!H49</f>
        <v>11073618750.803473</v>
      </c>
      <c r="H15" s="88">
        <f t="shared" ref="H15:H17" si="0">G15-F15</f>
        <v>227136750.80347252</v>
      </c>
    </row>
    <row r="16" spans="1:24" x14ac:dyDescent="0.45">
      <c r="B16" s="73" t="s">
        <v>3</v>
      </c>
      <c r="C16" s="12">
        <f>'GAW-4-4 PSE Forecast'!R7</f>
        <v>9839.6766184145054</v>
      </c>
      <c r="D16" s="12">
        <f>+D15*(1+'GAW-4-5 Pub. Counsel Forecast'!C35)+19</f>
        <v>10039.40794751045</v>
      </c>
      <c r="E16" s="12"/>
      <c r="F16" s="12">
        <f>'GAW-4-4 PSE Forecast'!F7*1000</f>
        <v>10953273000</v>
      </c>
      <c r="G16" s="12">
        <f>D16*('GAW-4-4 PSE Forecast'!L7/12)</f>
        <v>11175608739.179325</v>
      </c>
      <c r="H16" s="88">
        <f t="shared" si="0"/>
        <v>222335739.1793251</v>
      </c>
    </row>
    <row r="17" spans="2:24" x14ac:dyDescent="0.45">
      <c r="B17" s="73" t="s">
        <v>4</v>
      </c>
      <c r="C17" s="12">
        <f>'GAW-4-4 PSE Forecast'!S7</f>
        <v>9761.1821201401362</v>
      </c>
      <c r="D17" s="12">
        <f>D16*(1+'GAW-4-5 Pub. Counsel Forecast'!C35)+19</f>
        <v>10002.447845795043</v>
      </c>
      <c r="F17" s="12">
        <f>'GAW-4-4 PSE Forecast'!G7*1000</f>
        <v>11003417000</v>
      </c>
      <c r="G17" s="12">
        <f>D17*('GAW-4-4 PSE Forecast'!M7/12)</f>
        <v>11275386865.382496</v>
      </c>
      <c r="H17" s="88">
        <f t="shared" si="0"/>
        <v>271969865.38249588</v>
      </c>
    </row>
    <row r="18" spans="2:24" x14ac:dyDescent="0.45">
      <c r="B18" s="73"/>
      <c r="C18" s="12"/>
      <c r="D18" s="12"/>
      <c r="F18" s="12"/>
      <c r="G18" s="12"/>
      <c r="H18" s="88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7"/>
    </row>
    <row r="19" spans="2:24" ht="16.899999999999999" x14ac:dyDescent="0.5">
      <c r="B19" s="73"/>
      <c r="H19" s="74"/>
      <c r="J19" s="123" t="s">
        <v>131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5"/>
    </row>
    <row r="20" spans="2:24" x14ac:dyDescent="0.45">
      <c r="B20" s="126" t="s">
        <v>99</v>
      </c>
      <c r="C20" s="119"/>
      <c r="D20" s="119"/>
      <c r="E20" s="119"/>
      <c r="F20" s="119"/>
      <c r="G20" s="119"/>
      <c r="H20" s="127"/>
      <c r="J20" s="126" t="s">
        <v>99</v>
      </c>
      <c r="K20" s="119"/>
      <c r="L20" s="119"/>
      <c r="M20" s="119"/>
      <c r="N20" s="119"/>
      <c r="O20" s="119"/>
      <c r="P20" s="119"/>
      <c r="Q20" s="11"/>
      <c r="R20" s="119" t="s">
        <v>99</v>
      </c>
      <c r="S20" s="119"/>
      <c r="T20" s="119"/>
      <c r="U20" s="119"/>
      <c r="V20" s="119"/>
      <c r="W20" s="119"/>
      <c r="X20" s="127"/>
    </row>
    <row r="21" spans="2:24" x14ac:dyDescent="0.45">
      <c r="B21" s="73"/>
      <c r="C21" s="119" t="s">
        <v>71</v>
      </c>
      <c r="D21" s="119"/>
      <c r="F21" s="119" t="s">
        <v>73</v>
      </c>
      <c r="G21" s="119"/>
      <c r="H21" s="74"/>
      <c r="J21" s="73"/>
      <c r="K21" s="119" t="s">
        <v>105</v>
      </c>
      <c r="L21" s="119"/>
      <c r="M21" s="11"/>
      <c r="N21" s="119" t="s">
        <v>104</v>
      </c>
      <c r="O21" s="119"/>
      <c r="P21" s="11"/>
      <c r="Q21" s="11"/>
      <c r="R21" s="11"/>
      <c r="S21" s="119" t="s">
        <v>106</v>
      </c>
      <c r="T21" s="119"/>
      <c r="U21" s="11"/>
      <c r="V21" s="119" t="s">
        <v>107</v>
      </c>
      <c r="W21" s="119"/>
      <c r="X21" s="74"/>
    </row>
    <row r="22" spans="2:24" x14ac:dyDescent="0.45">
      <c r="B22" s="69" t="s">
        <v>56</v>
      </c>
      <c r="C22" s="38" t="s">
        <v>48</v>
      </c>
      <c r="D22" s="38" t="s">
        <v>42</v>
      </c>
      <c r="F22" s="38" t="s">
        <v>48</v>
      </c>
      <c r="G22" s="38" t="s">
        <v>42</v>
      </c>
      <c r="H22" s="70" t="s">
        <v>42</v>
      </c>
      <c r="J22" s="69" t="s">
        <v>56</v>
      </c>
      <c r="K22" s="38" t="s">
        <v>48</v>
      </c>
      <c r="L22" s="38" t="s">
        <v>42</v>
      </c>
      <c r="M22" s="11"/>
      <c r="N22" s="38" t="s">
        <v>48</v>
      </c>
      <c r="O22" s="38" t="s">
        <v>42</v>
      </c>
      <c r="P22" s="38" t="s">
        <v>42</v>
      </c>
      <c r="Q22" s="11"/>
      <c r="R22" s="38" t="s">
        <v>56</v>
      </c>
      <c r="S22" s="38" t="s">
        <v>48</v>
      </c>
      <c r="T22" s="38" t="s">
        <v>42</v>
      </c>
      <c r="U22" s="11"/>
      <c r="V22" s="38" t="s">
        <v>48</v>
      </c>
      <c r="W22" s="38" t="s">
        <v>42</v>
      </c>
      <c r="X22" s="70" t="s">
        <v>42</v>
      </c>
    </row>
    <row r="23" spans="2:24" x14ac:dyDescent="0.45">
      <c r="B23" s="90" t="s">
        <v>57</v>
      </c>
      <c r="C23" s="37" t="s">
        <v>58</v>
      </c>
      <c r="D23" s="37" t="s">
        <v>58</v>
      </c>
      <c r="F23" s="37" t="s">
        <v>58</v>
      </c>
      <c r="G23" s="37" t="s">
        <v>58</v>
      </c>
      <c r="H23" s="72" t="s">
        <v>49</v>
      </c>
      <c r="J23" s="90" t="s">
        <v>57</v>
      </c>
      <c r="K23" s="37" t="s">
        <v>58</v>
      </c>
      <c r="L23" s="37" t="s">
        <v>58</v>
      </c>
      <c r="M23" s="11"/>
      <c r="N23" s="37" t="s">
        <v>58</v>
      </c>
      <c r="O23" s="37" t="s">
        <v>58</v>
      </c>
      <c r="P23" s="37" t="s">
        <v>49</v>
      </c>
      <c r="Q23" s="11"/>
      <c r="R23" s="37" t="s">
        <v>57</v>
      </c>
      <c r="S23" s="37" t="s">
        <v>58</v>
      </c>
      <c r="T23" s="37" t="s">
        <v>58</v>
      </c>
      <c r="U23" s="11"/>
      <c r="V23" s="37" t="s">
        <v>58</v>
      </c>
      <c r="W23" s="37" t="s">
        <v>58</v>
      </c>
      <c r="X23" s="72" t="s">
        <v>49</v>
      </c>
    </row>
    <row r="24" spans="2:24" ht="14.55" hidden="1" customHeight="1" x14ac:dyDescent="0.45">
      <c r="B24" s="73"/>
      <c r="H24" s="74"/>
      <c r="J24" s="73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74"/>
    </row>
    <row r="25" spans="2:24" x14ac:dyDescent="0.45">
      <c r="B25" s="132"/>
      <c r="C25" s="118"/>
      <c r="D25" s="118"/>
      <c r="E25" s="118"/>
      <c r="F25" s="118"/>
      <c r="G25" s="118"/>
      <c r="H25" s="133"/>
      <c r="J25" s="93"/>
      <c r="K25" s="20"/>
      <c r="L25" s="20"/>
      <c r="M25" s="20"/>
      <c r="N25" s="20"/>
      <c r="O25" s="20"/>
      <c r="P25" s="20"/>
      <c r="Q25" s="11"/>
      <c r="R25" s="20"/>
      <c r="S25" s="20"/>
      <c r="T25" s="20"/>
      <c r="U25" s="20"/>
      <c r="V25" s="20"/>
      <c r="W25" s="20"/>
      <c r="X25" s="94"/>
    </row>
    <row r="26" spans="2:24" x14ac:dyDescent="0.45">
      <c r="B26" s="91" t="s">
        <v>72</v>
      </c>
      <c r="H26" s="74"/>
      <c r="J26" s="91" t="s">
        <v>72</v>
      </c>
      <c r="K26" s="11"/>
      <c r="L26" s="11"/>
      <c r="M26" s="11"/>
      <c r="N26" s="11"/>
      <c r="O26" s="11"/>
      <c r="P26" s="11"/>
      <c r="Q26" s="11"/>
      <c r="R26" s="32" t="s">
        <v>72</v>
      </c>
      <c r="S26" s="11"/>
      <c r="T26" s="11"/>
      <c r="U26" s="11"/>
      <c r="V26" s="11"/>
      <c r="W26" s="11"/>
      <c r="X26" s="74"/>
    </row>
    <row r="27" spans="2:24" x14ac:dyDescent="0.45">
      <c r="B27" s="92" t="s">
        <v>0</v>
      </c>
      <c r="C27" s="12">
        <f>'GAW-4-5 Pub. Counsel Forecast'!M13</f>
        <v>23245.691703609882</v>
      </c>
      <c r="D27" s="29">
        <f>C27</f>
        <v>23245.691703609882</v>
      </c>
      <c r="F27" s="12">
        <f>'GAW-4-5 Pub. Counsel Forecast'!E13</f>
        <v>15293728</v>
      </c>
      <c r="G27" s="29">
        <f>F27</f>
        <v>15293728</v>
      </c>
      <c r="H27" s="74">
        <v>0</v>
      </c>
      <c r="J27" s="92" t="s">
        <v>0</v>
      </c>
      <c r="K27" s="12"/>
      <c r="L27" s="29"/>
      <c r="M27" s="11"/>
      <c r="N27" s="12">
        <v>2736</v>
      </c>
      <c r="O27" s="29">
        <f>N27</f>
        <v>2736</v>
      </c>
      <c r="P27" s="29">
        <f>O27-N27</f>
        <v>0</v>
      </c>
      <c r="Q27" s="11"/>
      <c r="R27" s="33" t="s">
        <v>0</v>
      </c>
      <c r="S27" s="12"/>
      <c r="T27" s="29"/>
      <c r="U27" s="11"/>
      <c r="V27" s="12">
        <v>4347</v>
      </c>
      <c r="W27" s="29">
        <f>V27</f>
        <v>4347</v>
      </c>
      <c r="X27" s="88">
        <f>W27-V27</f>
        <v>0</v>
      </c>
    </row>
    <row r="28" spans="2:24" x14ac:dyDescent="0.45">
      <c r="B28" s="91" t="s">
        <v>58</v>
      </c>
      <c r="F28" s="12"/>
      <c r="H28" s="74"/>
      <c r="J28" s="91" t="s">
        <v>58</v>
      </c>
      <c r="K28" s="11"/>
      <c r="L28" s="11"/>
      <c r="M28" s="11"/>
      <c r="N28" s="12"/>
      <c r="O28" s="11"/>
      <c r="P28" s="11"/>
      <c r="Q28" s="11"/>
      <c r="R28" s="32" t="s">
        <v>58</v>
      </c>
      <c r="S28" s="11"/>
      <c r="T28" s="11"/>
      <c r="U28" s="11"/>
      <c r="V28" s="12"/>
      <c r="W28" s="11"/>
      <c r="X28" s="74"/>
    </row>
    <row r="29" spans="2:24" x14ac:dyDescent="0.45">
      <c r="B29" s="73" t="s">
        <v>5</v>
      </c>
      <c r="C29" s="12">
        <f>'GAW-4-4 PSE Forecast'!P11</f>
        <v>21671.957671957673</v>
      </c>
      <c r="D29" s="15">
        <f>'GAW-4-5 Pub. Counsel Forecast'!G36</f>
        <v>23245.691703609882</v>
      </c>
      <c r="F29" s="12">
        <f>'GAW-4-4 PSE Forecast'!D11*1000</f>
        <v>14336000.000000002</v>
      </c>
      <c r="G29" s="12">
        <f>'GAW-4-5 Pub. Counsel Forecast'!I36</f>
        <v>15377025.061937938</v>
      </c>
      <c r="H29" s="88">
        <f>G29-F29</f>
        <v>1041025.0619379357</v>
      </c>
      <c r="J29" s="73" t="s">
        <v>5</v>
      </c>
      <c r="K29" s="12"/>
      <c r="L29" s="15"/>
      <c r="M29" s="11"/>
      <c r="N29" s="12">
        <v>1333</v>
      </c>
      <c r="O29" s="12">
        <f>+(G29/G27)*O$27</f>
        <v>2750.901583280558</v>
      </c>
      <c r="P29" s="29">
        <f t="shared" ref="P29:P32" si="1">O29-N29</f>
        <v>1417.901583280558</v>
      </c>
      <c r="Q29" s="11"/>
      <c r="R29" s="11" t="s">
        <v>5</v>
      </c>
      <c r="S29" s="12"/>
      <c r="T29" s="15"/>
      <c r="U29" s="11"/>
      <c r="V29" s="12">
        <v>3787</v>
      </c>
      <c r="W29" s="12">
        <f>+(G29/G27)*W$27</f>
        <v>4370.6758708043071</v>
      </c>
      <c r="X29" s="88">
        <f t="shared" ref="X29:X32" si="2">W29-V29</f>
        <v>583.67587080430712</v>
      </c>
    </row>
    <row r="30" spans="2:24" x14ac:dyDescent="0.45">
      <c r="B30" s="73" t="s">
        <v>1</v>
      </c>
      <c r="C30" s="12">
        <f>'GAW-4-4 PSE Forecast'!Q11</f>
        <v>21949.869060980174</v>
      </c>
      <c r="D30" s="12">
        <f>'GAW-4-5 Pub. Counsel Forecast'!E50</f>
        <v>23245.691703609882</v>
      </c>
      <c r="F30" s="12">
        <f>'GAW-4-4 PSE Forecast'!E11*1000</f>
        <v>14668000</v>
      </c>
      <c r="G30" s="12">
        <f>'GAW-4-5 Pub. Counsel Forecast'!H50</f>
        <v>15533933.480937304</v>
      </c>
      <c r="H30" s="88">
        <f t="shared" ref="H30:H32" si="3">G30-F30</f>
        <v>865933.48093730398</v>
      </c>
      <c r="J30" s="73" t="s">
        <v>1</v>
      </c>
      <c r="K30" s="12"/>
      <c r="L30" s="12"/>
      <c r="M30" s="11"/>
      <c r="N30" s="12">
        <v>1378</v>
      </c>
      <c r="O30" s="12">
        <f>+(G30/G29)*O29</f>
        <v>2778.972007599747</v>
      </c>
      <c r="P30" s="29">
        <f t="shared" si="1"/>
        <v>1400.972007599747</v>
      </c>
      <c r="Q30" s="11"/>
      <c r="R30" s="11" t="s">
        <v>1</v>
      </c>
      <c r="S30" s="12"/>
      <c r="T30" s="12"/>
      <c r="U30" s="11"/>
      <c r="V30" s="12">
        <v>3935</v>
      </c>
      <c r="W30" s="12">
        <f>+(O30/O29)*W29</f>
        <v>4415.2746041798609</v>
      </c>
      <c r="X30" s="88">
        <f t="shared" si="2"/>
        <v>480.27460417986094</v>
      </c>
    </row>
    <row r="31" spans="2:24" x14ac:dyDescent="0.45">
      <c r="B31" s="73" t="s">
        <v>3</v>
      </c>
      <c r="C31" s="12">
        <f>'GAW-4-4 PSE Forecast'!R11</f>
        <v>21896.036547721942</v>
      </c>
      <c r="D31" s="15">
        <f>D30</f>
        <v>23245.691703609882</v>
      </c>
      <c r="E31" s="12"/>
      <c r="F31" s="12">
        <f>'GAW-4-4 PSE Forecast'!F11*1000</f>
        <v>14778000</v>
      </c>
      <c r="G31" s="15">
        <f>D31*('GAW-4-4 PSE Forecast'!L11/12)</f>
        <v>15688904.758961368</v>
      </c>
      <c r="H31" s="88">
        <f t="shared" si="3"/>
        <v>910904.75896136835</v>
      </c>
      <c r="J31" s="73" t="s">
        <v>3</v>
      </c>
      <c r="K31" s="12"/>
      <c r="L31" s="15"/>
      <c r="M31" s="12"/>
      <c r="N31" s="12">
        <v>1396</v>
      </c>
      <c r="O31" s="12">
        <f>+(G31/G30)*O30</f>
        <v>2806.6958834705506</v>
      </c>
      <c r="P31" s="29">
        <f t="shared" si="1"/>
        <v>1410.6958834705506</v>
      </c>
      <c r="Q31" s="11"/>
      <c r="R31" s="11" t="s">
        <v>3</v>
      </c>
      <c r="S31" s="12"/>
      <c r="T31" s="15"/>
      <c r="U31" s="12"/>
      <c r="V31" s="12">
        <v>3980</v>
      </c>
      <c r="W31" s="12">
        <f>+(O31/O30)*W30</f>
        <v>4459.3227359088023</v>
      </c>
      <c r="X31" s="88">
        <f t="shared" si="2"/>
        <v>479.32273590880231</v>
      </c>
    </row>
    <row r="32" spans="2:24" x14ac:dyDescent="0.45">
      <c r="B32" s="73" t="s">
        <v>4</v>
      </c>
      <c r="C32" s="12">
        <f>'GAW-4-4 PSE Forecast'!S11</f>
        <v>21681.918277465134</v>
      </c>
      <c r="D32" s="15">
        <f>D31</f>
        <v>23245.691703609882</v>
      </c>
      <c r="F32" s="12">
        <f>'GAW-4-4 PSE Forecast'!G11*1000</f>
        <v>14768999.999999998</v>
      </c>
      <c r="G32" s="15">
        <f>D32*('GAW-4-4 PSE Forecast'!M11/12)</f>
        <v>15834190.33210893</v>
      </c>
      <c r="H32" s="88">
        <f t="shared" si="3"/>
        <v>1065190.3321089316</v>
      </c>
      <c r="J32" s="73" t="s">
        <v>4</v>
      </c>
      <c r="K32" s="12"/>
      <c r="L32" s="15"/>
      <c r="M32" s="11"/>
      <c r="N32" s="12">
        <v>1399</v>
      </c>
      <c r="O32" s="12">
        <f>+(G32/G31)*O31</f>
        <v>2832.6870170994293</v>
      </c>
      <c r="P32" s="29">
        <f t="shared" si="1"/>
        <v>1433.6870170994293</v>
      </c>
      <c r="Q32" s="11"/>
      <c r="R32" s="11" t="s">
        <v>4</v>
      </c>
      <c r="S32" s="12"/>
      <c r="T32" s="15"/>
      <c r="U32" s="11"/>
      <c r="V32" s="12">
        <v>3981</v>
      </c>
      <c r="W32" s="12">
        <f>+(O32/O31)*W31</f>
        <v>4500.6178594046851</v>
      </c>
      <c r="X32" s="88">
        <f t="shared" si="2"/>
        <v>519.61785940468508</v>
      </c>
    </row>
    <row r="33" spans="2:24" x14ac:dyDescent="0.45">
      <c r="B33" s="73"/>
      <c r="C33" s="12"/>
      <c r="D33" s="15"/>
      <c r="F33" s="12"/>
      <c r="G33" s="15"/>
      <c r="H33" s="88"/>
      <c r="J33" s="73"/>
      <c r="K33" s="12"/>
      <c r="L33" s="15"/>
      <c r="M33" s="11"/>
      <c r="N33" s="12"/>
      <c r="O33" s="15"/>
      <c r="P33" s="29"/>
      <c r="Q33" s="11"/>
      <c r="R33" s="11"/>
      <c r="S33" s="11"/>
      <c r="T33" s="11"/>
      <c r="U33" s="11"/>
      <c r="V33" s="11"/>
      <c r="W33" s="11"/>
      <c r="X33" s="74"/>
    </row>
    <row r="34" spans="2:24" x14ac:dyDescent="0.45">
      <c r="B34" s="73"/>
      <c r="C34" s="12"/>
      <c r="D34" s="15"/>
      <c r="F34" s="12"/>
      <c r="G34" s="15"/>
      <c r="H34" s="88"/>
      <c r="J34" s="73"/>
      <c r="K34" s="12"/>
      <c r="L34" s="15"/>
      <c r="M34" s="11"/>
      <c r="N34" s="12"/>
      <c r="O34" s="15"/>
      <c r="P34" s="29"/>
      <c r="Q34" s="11"/>
      <c r="R34" s="11"/>
      <c r="S34" s="11"/>
      <c r="T34" s="11"/>
      <c r="U34" s="11"/>
      <c r="V34" s="11"/>
      <c r="W34" s="11"/>
      <c r="X34" s="74"/>
    </row>
    <row r="35" spans="2:24" x14ac:dyDescent="0.45">
      <c r="B35" s="126" t="s">
        <v>100</v>
      </c>
      <c r="C35" s="119"/>
      <c r="D35" s="119"/>
      <c r="E35" s="119"/>
      <c r="F35" s="119"/>
      <c r="G35" s="119"/>
      <c r="H35" s="127"/>
      <c r="J35" s="126" t="s">
        <v>100</v>
      </c>
      <c r="K35" s="119"/>
      <c r="L35" s="119"/>
      <c r="M35" s="119"/>
      <c r="N35" s="119"/>
      <c r="O35" s="119"/>
      <c r="P35" s="119"/>
      <c r="Q35" s="11"/>
      <c r="R35" s="11"/>
      <c r="S35" s="11"/>
      <c r="T35" s="11"/>
      <c r="U35" s="11"/>
      <c r="V35" s="11"/>
      <c r="W35" s="11"/>
      <c r="X35" s="74"/>
    </row>
    <row r="36" spans="2:24" x14ac:dyDescent="0.45">
      <c r="B36" s="73"/>
      <c r="C36" s="119" t="s">
        <v>71</v>
      </c>
      <c r="D36" s="119"/>
      <c r="F36" s="119" t="s">
        <v>73</v>
      </c>
      <c r="G36" s="119"/>
      <c r="H36" s="74"/>
      <c r="J36" s="73"/>
      <c r="K36" s="119" t="s">
        <v>102</v>
      </c>
      <c r="L36" s="119"/>
      <c r="M36" s="11"/>
      <c r="N36" s="119" t="s">
        <v>103</v>
      </c>
      <c r="O36" s="119"/>
      <c r="P36" s="11"/>
      <c r="Q36" s="11"/>
      <c r="R36" s="11"/>
      <c r="S36" s="11"/>
      <c r="T36" s="11"/>
      <c r="U36" s="11"/>
      <c r="V36" s="11"/>
      <c r="W36" s="11"/>
      <c r="X36" s="74"/>
    </row>
    <row r="37" spans="2:24" x14ac:dyDescent="0.45">
      <c r="B37" s="69" t="s">
        <v>56</v>
      </c>
      <c r="C37" s="38" t="s">
        <v>48</v>
      </c>
      <c r="D37" s="38" t="s">
        <v>42</v>
      </c>
      <c r="F37" s="38" t="s">
        <v>48</v>
      </c>
      <c r="G37" s="38" t="s">
        <v>42</v>
      </c>
      <c r="H37" s="70" t="s">
        <v>42</v>
      </c>
      <c r="J37" s="69" t="s">
        <v>56</v>
      </c>
      <c r="K37" s="38" t="s">
        <v>48</v>
      </c>
      <c r="L37" s="38" t="s">
        <v>42</v>
      </c>
      <c r="M37" s="11"/>
      <c r="N37" s="38" t="s">
        <v>48</v>
      </c>
      <c r="O37" s="38" t="s">
        <v>42</v>
      </c>
      <c r="P37" s="38" t="s">
        <v>42</v>
      </c>
      <c r="Q37" s="11"/>
      <c r="R37" s="11"/>
      <c r="S37" s="11"/>
      <c r="T37" s="11"/>
      <c r="U37" s="11"/>
      <c r="V37" s="11"/>
      <c r="W37" s="11"/>
      <c r="X37" s="74"/>
    </row>
    <row r="38" spans="2:24" x14ac:dyDescent="0.45">
      <c r="B38" s="90" t="s">
        <v>57</v>
      </c>
      <c r="C38" s="37" t="s">
        <v>58</v>
      </c>
      <c r="D38" s="37" t="s">
        <v>58</v>
      </c>
      <c r="F38" s="37" t="s">
        <v>58</v>
      </c>
      <c r="G38" s="37" t="s">
        <v>58</v>
      </c>
      <c r="H38" s="72" t="s">
        <v>49</v>
      </c>
      <c r="J38" s="90" t="s">
        <v>57</v>
      </c>
      <c r="K38" s="37" t="s">
        <v>58</v>
      </c>
      <c r="L38" s="37" t="s">
        <v>58</v>
      </c>
      <c r="M38" s="11"/>
      <c r="N38" s="37" t="s">
        <v>58</v>
      </c>
      <c r="O38" s="37" t="s">
        <v>58</v>
      </c>
      <c r="P38" s="37" t="s">
        <v>49</v>
      </c>
      <c r="Q38" s="11"/>
      <c r="R38" s="11"/>
      <c r="S38" s="11"/>
      <c r="T38" s="11"/>
      <c r="U38" s="11"/>
      <c r="V38" s="11"/>
      <c r="W38" s="11"/>
      <c r="X38" s="74"/>
    </row>
    <row r="39" spans="2:24" ht="14.55" hidden="1" customHeight="1" x14ac:dyDescent="0.45">
      <c r="B39" s="73"/>
      <c r="H39" s="74"/>
      <c r="J39" s="7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74"/>
    </row>
    <row r="40" spans="2:24" x14ac:dyDescent="0.45">
      <c r="B40" s="132"/>
      <c r="C40" s="118"/>
      <c r="D40" s="118"/>
      <c r="E40" s="118"/>
      <c r="F40" s="118"/>
      <c r="G40" s="118"/>
      <c r="H40" s="133"/>
      <c r="J40" s="93"/>
      <c r="K40" s="20"/>
      <c r="L40" s="20"/>
      <c r="M40" s="20"/>
      <c r="N40" s="20"/>
      <c r="O40" s="20"/>
      <c r="P40" s="20"/>
      <c r="Q40" s="11"/>
      <c r="R40" s="11"/>
      <c r="S40" s="11"/>
      <c r="T40" s="11"/>
      <c r="U40" s="11"/>
      <c r="V40" s="11"/>
      <c r="W40" s="11"/>
      <c r="X40" s="74"/>
    </row>
    <row r="41" spans="2:24" x14ac:dyDescent="0.45">
      <c r="B41" s="91" t="s">
        <v>72</v>
      </c>
      <c r="H41" s="74"/>
      <c r="J41" s="91" t="s">
        <v>72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74"/>
    </row>
    <row r="42" spans="2:24" x14ac:dyDescent="0.45">
      <c r="B42" s="92" t="s">
        <v>0</v>
      </c>
      <c r="C42" s="12">
        <f>'GAW-4-5 Pub. Counsel Forecast'!M17</f>
        <v>16801675.166666668</v>
      </c>
      <c r="D42" s="29">
        <f>C42</f>
        <v>16801675.166666668</v>
      </c>
      <c r="F42" s="12">
        <f>'GAW-4-5 Pub. Counsel Forecast'!E17</f>
        <v>100810051</v>
      </c>
      <c r="G42" s="29">
        <f>F42</f>
        <v>100810051</v>
      </c>
      <c r="H42" s="74">
        <v>0</v>
      </c>
      <c r="J42" s="92" t="s">
        <v>0</v>
      </c>
      <c r="K42" s="12"/>
      <c r="L42" s="29"/>
      <c r="M42" s="11"/>
      <c r="N42" s="12">
        <v>410250</v>
      </c>
      <c r="O42" s="29">
        <f>N42</f>
        <v>410250</v>
      </c>
      <c r="P42" s="29">
        <f>O42-N42</f>
        <v>0</v>
      </c>
      <c r="Q42" s="11"/>
      <c r="R42" s="11"/>
      <c r="S42" s="11"/>
      <c r="T42" s="11"/>
      <c r="U42" s="11"/>
      <c r="V42" s="11"/>
      <c r="W42" s="11"/>
      <c r="X42" s="74"/>
    </row>
    <row r="43" spans="2:24" x14ac:dyDescent="0.45">
      <c r="B43" s="91" t="s">
        <v>58</v>
      </c>
      <c r="F43" s="12"/>
      <c r="H43" s="74"/>
      <c r="J43" s="91" t="s">
        <v>58</v>
      </c>
      <c r="K43" s="11"/>
      <c r="L43" s="11"/>
      <c r="M43" s="11"/>
      <c r="N43" s="12"/>
      <c r="O43" s="11"/>
      <c r="P43" s="11"/>
      <c r="Q43" s="11"/>
      <c r="R43" s="11"/>
      <c r="S43" s="11"/>
      <c r="T43" s="11"/>
      <c r="U43" s="11"/>
      <c r="V43" s="11"/>
      <c r="W43" s="11"/>
      <c r="X43" s="74"/>
    </row>
    <row r="44" spans="2:24" x14ac:dyDescent="0.45">
      <c r="B44" s="73" t="s">
        <v>5</v>
      </c>
      <c r="C44" s="12">
        <f>'GAW-4-4 PSE Forecast'!P15</f>
        <v>13159666.666666666</v>
      </c>
      <c r="D44" s="15">
        <f>'GAW-4-5 Pub. Counsel Forecast'!G37</f>
        <v>16801675.166666668</v>
      </c>
      <c r="F44" s="12">
        <f>'GAW-4-4 PSE Forecast'!D15*1000</f>
        <v>78958000</v>
      </c>
      <c r="G44" s="12">
        <f>'GAW-4-5 Pub. Counsel Forecast'!I37</f>
        <v>100810051</v>
      </c>
      <c r="H44" s="88">
        <f>G44-F44</f>
        <v>21852051</v>
      </c>
      <c r="J44" s="73" t="s">
        <v>5</v>
      </c>
      <c r="K44" s="12"/>
      <c r="L44" s="15"/>
      <c r="M44" s="11"/>
      <c r="N44" s="12">
        <v>342089</v>
      </c>
      <c r="O44" s="12">
        <f>O42</f>
        <v>410250</v>
      </c>
      <c r="P44" s="29">
        <f t="shared" ref="P44:P47" si="4">O44-N44</f>
        <v>68161</v>
      </c>
      <c r="Q44" s="11"/>
      <c r="R44" s="11"/>
      <c r="S44" s="11"/>
      <c r="T44" s="11"/>
      <c r="U44" s="11"/>
      <c r="V44" s="11"/>
      <c r="W44" s="11"/>
      <c r="X44" s="74"/>
    </row>
    <row r="45" spans="2:24" x14ac:dyDescent="0.45">
      <c r="B45" s="73" t="s">
        <v>1</v>
      </c>
      <c r="C45" s="12">
        <f>'GAW-4-4 PSE Forecast'!Q15</f>
        <v>13041833.333333334</v>
      </c>
      <c r="D45" s="12">
        <f>'GAW-4-5 Pub. Counsel Forecast'!E51</f>
        <v>16801675.166666668</v>
      </c>
      <c r="F45" s="12">
        <f>'GAW-4-4 PSE Forecast'!E15*1000</f>
        <v>78251000</v>
      </c>
      <c r="G45" s="12">
        <f>'GAW-4-5 Pub. Counsel Forecast'!H51</f>
        <v>100810051</v>
      </c>
      <c r="H45" s="88">
        <f t="shared" ref="H45:H47" si="5">G45-F45</f>
        <v>22559051</v>
      </c>
      <c r="J45" s="73" t="s">
        <v>1</v>
      </c>
      <c r="K45" s="12"/>
      <c r="L45" s="12"/>
      <c r="M45" s="11"/>
      <c r="N45" s="12">
        <v>337746</v>
      </c>
      <c r="O45" s="12">
        <f>O44</f>
        <v>410250</v>
      </c>
      <c r="P45" s="29">
        <f t="shared" si="4"/>
        <v>72504</v>
      </c>
      <c r="Q45" s="11"/>
      <c r="R45" s="11"/>
      <c r="S45" s="11"/>
      <c r="T45" s="11"/>
      <c r="U45" s="11"/>
      <c r="V45" s="11"/>
      <c r="W45" s="11"/>
      <c r="X45" s="74"/>
    </row>
    <row r="46" spans="2:24" x14ac:dyDescent="0.45">
      <c r="B46" s="73" t="s">
        <v>3</v>
      </c>
      <c r="C46" s="12">
        <f>'GAW-4-4 PSE Forecast'!R15</f>
        <v>12935166.666666666</v>
      </c>
      <c r="D46" s="15">
        <f>D45</f>
        <v>16801675.166666668</v>
      </c>
      <c r="E46" s="12"/>
      <c r="F46" s="12">
        <f>'GAW-4-4 PSE Forecast'!F15*1000</f>
        <v>77611000</v>
      </c>
      <c r="G46" s="15">
        <f>D46*('GAW-4-4 PSE Forecast'!L15/12)</f>
        <v>100810051</v>
      </c>
      <c r="H46" s="88">
        <f t="shared" si="5"/>
        <v>23199051</v>
      </c>
      <c r="J46" s="73" t="s">
        <v>3</v>
      </c>
      <c r="K46" s="12"/>
      <c r="L46" s="15"/>
      <c r="M46" s="12"/>
      <c r="N46" s="12">
        <v>333917</v>
      </c>
      <c r="O46" s="12">
        <f t="shared" ref="O46:O47" si="6">O44</f>
        <v>410250</v>
      </c>
      <c r="P46" s="29">
        <f t="shared" si="4"/>
        <v>76333</v>
      </c>
      <c r="Q46" s="11"/>
      <c r="R46" s="11"/>
      <c r="S46" s="11"/>
      <c r="T46" s="11"/>
      <c r="U46" s="11"/>
      <c r="V46" s="11"/>
      <c r="W46" s="11"/>
      <c r="X46" s="74"/>
    </row>
    <row r="47" spans="2:24" x14ac:dyDescent="0.45">
      <c r="B47" s="73" t="s">
        <v>4</v>
      </c>
      <c r="C47" s="12">
        <f>'GAW-4-4 PSE Forecast'!S15</f>
        <v>12747333.333333334</v>
      </c>
      <c r="D47" s="15">
        <f>D46</f>
        <v>16801675.166666668</v>
      </c>
      <c r="F47" s="12">
        <f>'GAW-4-4 PSE Forecast'!G15*1000</f>
        <v>76484000</v>
      </c>
      <c r="G47" s="15">
        <f>D47*('GAW-4-4 PSE Forecast'!M15/12)</f>
        <v>100810051</v>
      </c>
      <c r="H47" s="88">
        <f t="shared" si="5"/>
        <v>24326051</v>
      </c>
      <c r="J47" s="73" t="s">
        <v>4</v>
      </c>
      <c r="K47" s="12"/>
      <c r="L47" s="15"/>
      <c r="M47" s="11"/>
      <c r="N47" s="12">
        <v>329590</v>
      </c>
      <c r="O47" s="12">
        <f t="shared" si="6"/>
        <v>410250</v>
      </c>
      <c r="P47" s="29">
        <f t="shared" si="4"/>
        <v>80660</v>
      </c>
      <c r="Q47" s="11"/>
      <c r="R47" s="11"/>
      <c r="S47" s="11"/>
      <c r="T47" s="11"/>
      <c r="U47" s="11"/>
      <c r="V47" s="11"/>
      <c r="W47" s="11"/>
      <c r="X47" s="74"/>
    </row>
    <row r="48" spans="2:24" x14ac:dyDescent="0.45">
      <c r="B48" s="79"/>
      <c r="C48" s="31"/>
      <c r="D48" s="31"/>
      <c r="E48" s="31"/>
      <c r="F48" s="31"/>
      <c r="G48" s="31"/>
      <c r="H48" s="80"/>
      <c r="J48" s="79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80"/>
    </row>
  </sheetData>
  <mergeCells count="24">
    <mergeCell ref="B1:X1"/>
    <mergeCell ref="B2:X2"/>
    <mergeCell ref="B40:H40"/>
    <mergeCell ref="C36:D36"/>
    <mergeCell ref="F36:G36"/>
    <mergeCell ref="K36:L36"/>
    <mergeCell ref="N36:O36"/>
    <mergeCell ref="B25:H25"/>
    <mergeCell ref="B35:H35"/>
    <mergeCell ref="J20:P20"/>
    <mergeCell ref="K21:L21"/>
    <mergeCell ref="N21:O21"/>
    <mergeCell ref="J35:P35"/>
    <mergeCell ref="C21:D21"/>
    <mergeCell ref="F21:G21"/>
    <mergeCell ref="R20:X20"/>
    <mergeCell ref="S21:T21"/>
    <mergeCell ref="V21:W21"/>
    <mergeCell ref="J19:X19"/>
    <mergeCell ref="B6:H6"/>
    <mergeCell ref="B4:H4"/>
    <mergeCell ref="B20:H20"/>
    <mergeCell ref="F7:G7"/>
    <mergeCell ref="C7:D7"/>
  </mergeCells>
  <pageMargins left="0.7" right="0.7" top="0.75" bottom="0.75" header="0.3" footer="0.3"/>
  <pageSetup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B9FB482-DE79-49BB-A60B-4A74A071EC86}">
  <ds:schemaRefs>
    <ds:schemaRef ds:uri="http://schemas.microsoft.com/office/2006/documentManagement/types"/>
    <ds:schemaRef ds:uri="http://purl.org/dc/dcmitype/"/>
    <ds:schemaRef ds:uri="http://purl.org/dc/elements/1.1/"/>
    <ds:schemaRef ds:uri="6c82624b-015b-4741-a0e7-93241e8a1b4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E6B5955-3161-44CC-99B0-3E6465DFD3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729A31-32DD-460A-81B1-09101DB8C215}"/>
</file>

<file path=customXml/itemProps4.xml><?xml version="1.0" encoding="utf-8"?>
<ds:datastoreItem xmlns:ds="http://schemas.openxmlformats.org/officeDocument/2006/customXml" ds:itemID="{7B0BC76C-D071-4E42-88DE-25A601AF5A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GAW-5-1 Inc. Gross Marg Adj.</vt:lpstr>
      <vt:lpstr>GAW-5-2 Incremental Var Costs</vt:lpstr>
      <vt:lpstr>GAW-5-3 Rev. Summary</vt:lpstr>
      <vt:lpstr>GAW-4-1 KWH Summary</vt:lpstr>
      <vt:lpstr>GAW-4-2 KW - KVA Summary</vt:lpstr>
      <vt:lpstr>GAW-5-4 Sch.7-Rev. @ Curr Rates</vt:lpstr>
      <vt:lpstr>GAW-5-5 Sch.29-Rev. @ Curr Rate</vt:lpstr>
      <vt:lpstr>GAW-5-6 Sch.46-Rev. @ Curr Rate</vt:lpstr>
      <vt:lpstr>GAW-4-3 PC -TAI KWH &amp; KW Adj.</vt:lpstr>
      <vt:lpstr>GAW-4-4 PSE Forecast</vt:lpstr>
      <vt:lpstr>GAW-4-5 Pub. Counsel Forecast</vt:lpstr>
      <vt:lpstr>'GAW-4-1 KWH Summary'!Print_Area</vt:lpstr>
      <vt:lpstr>'GAW-4-2 KW - KVA Summary'!Print_Area</vt:lpstr>
      <vt:lpstr>'GAW-4-3 PC -TAI KWH &amp; KW Adj.'!Print_Area</vt:lpstr>
      <vt:lpstr>'GAW-4-4 PSE Forecast'!Print_Area</vt:lpstr>
      <vt:lpstr>'GAW-4-5 Pub. Counsel Forecast'!Print_Area</vt:lpstr>
      <vt:lpstr>'GAW-5-1 Inc. Gross Marg Adj.'!Print_Area</vt:lpstr>
      <vt:lpstr>'GAW-5-2 Incremental Var Costs'!Print_Area</vt:lpstr>
      <vt:lpstr>'GAW-5-4 Sch.7-Rev. @ Curr Rates'!Print_Area</vt:lpstr>
      <vt:lpstr>'GAW-5-5 Sch.29-Rev. @ Curr Rate'!Print_Area</vt:lpstr>
      <vt:lpstr>'GAW-5-6 Sch.46-Rev. @ Curr Rate'!Print_Area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Watkins</dc:creator>
  <cp:lastModifiedBy>Mak, Chanda (ATG)</cp:lastModifiedBy>
  <cp:lastPrinted>2022-07-14T14:58:19Z</cp:lastPrinted>
  <dcterms:created xsi:type="dcterms:W3CDTF">2022-05-30T17:15:55Z</dcterms:created>
  <dcterms:modified xsi:type="dcterms:W3CDTF">2022-07-25T21:13:01Z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