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ResourcePlanning\2023 IRP\04. IRP Book\Gas Utility IRP\IRP Gas Files\CPA Files\"/>
    </mc:Choice>
  </mc:AlternateContent>
  <bookViews>
    <workbookView xWindow="0" yWindow="0" windowWidth="16425" windowHeight="3720"/>
  </bookViews>
  <sheets>
    <sheet name="DE Savings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" i="1" l="1"/>
  <c r="G10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G11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D10" i="1"/>
  <c r="AE10" i="1"/>
  <c r="AF10" i="1"/>
  <c r="AG10" i="1"/>
  <c r="AH10" i="1"/>
  <c r="AI10" i="1"/>
  <c r="H10" i="1"/>
  <c r="J7" i="1" l="1"/>
  <c r="AD7" i="1" l="1"/>
  <c r="AE7" i="1"/>
  <c r="AF7" i="1"/>
  <c r="AG7" i="1"/>
  <c r="AH7" i="1"/>
  <c r="AI7" i="1"/>
  <c r="AC7" i="1"/>
  <c r="AH12" i="1" l="1"/>
  <c r="AE12" i="1"/>
  <c r="AI12" i="1"/>
  <c r="AD12" i="1"/>
  <c r="AF12" i="1"/>
  <c r="AG12" i="1"/>
  <c r="V12" i="1"/>
  <c r="N12" i="1"/>
  <c r="G12" i="1"/>
  <c r="X12" i="1" l="1"/>
  <c r="P12" i="1"/>
  <c r="H12" i="1"/>
  <c r="Y12" i="1"/>
  <c r="Q12" i="1"/>
  <c r="I12" i="1"/>
  <c r="J12" i="1"/>
  <c r="W12" i="1"/>
  <c r="O12" i="1"/>
  <c r="R12" i="1"/>
  <c r="AC12" i="1"/>
  <c r="U12" i="1"/>
  <c r="M12" i="1"/>
  <c r="AB12" i="1"/>
  <c r="T12" i="1"/>
  <c r="L12" i="1"/>
  <c r="Z12" i="1"/>
  <c r="AA12" i="1"/>
  <c r="S12" i="1"/>
  <c r="K12" i="1"/>
  <c r="H17" i="1" l="1"/>
  <c r="H18" i="1" s="1"/>
  <c r="G7" i="1"/>
  <c r="G8" i="1" s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I7" i="1"/>
  <c r="H7" i="1"/>
  <c r="H8" i="1" s="1"/>
  <c r="I8" i="1" s="1"/>
  <c r="G9" i="1" l="1"/>
  <c r="C8" i="1" l="1"/>
  <c r="D8" i="1" l="1"/>
  <c r="E8" i="1" s="1"/>
  <c r="D9" i="1" l="1"/>
  <c r="C9" i="1"/>
  <c r="C6" i="1" l="1"/>
  <c r="D6" i="1" s="1"/>
  <c r="E6" i="1" s="1"/>
  <c r="F6" i="1" l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F8" i="1" l="1"/>
  <c r="E9" i="1"/>
  <c r="J8" i="1" l="1"/>
  <c r="H9" i="1"/>
  <c r="F9" i="1"/>
  <c r="K8" i="1" l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D9" i="1"/>
  <c r="AE8" i="1"/>
  <c r="I9" i="1"/>
  <c r="AE9" i="1" l="1"/>
  <c r="AF8" i="1"/>
  <c r="J9" i="1"/>
  <c r="AF9" i="1" l="1"/>
  <c r="AG8" i="1"/>
  <c r="K9" i="1"/>
  <c r="AH8" i="1" l="1"/>
  <c r="AG9" i="1"/>
  <c r="L9" i="1"/>
  <c r="AH9" i="1" l="1"/>
  <c r="AI8" i="1"/>
  <c r="M9" i="1"/>
  <c r="AI9" i="1" l="1"/>
  <c r="H16" i="1"/>
  <c r="N9" i="1"/>
  <c r="O9" i="1" l="1"/>
  <c r="P9" i="1" l="1"/>
  <c r="Q9" i="1" l="1"/>
  <c r="R9" i="1" l="1"/>
  <c r="S9" i="1" l="1"/>
  <c r="T9" i="1" l="1"/>
  <c r="U9" i="1" l="1"/>
  <c r="V9" i="1" l="1"/>
  <c r="W9" i="1" l="1"/>
  <c r="Y9" i="1" l="1"/>
  <c r="X9" i="1"/>
  <c r="Z9" i="1" l="1"/>
  <c r="AA9" i="1" l="1"/>
  <c r="AB9" i="1" l="1"/>
  <c r="AC9" i="1" l="1"/>
</calcChain>
</file>

<file path=xl/sharedStrings.xml><?xml version="1.0" encoding="utf-8"?>
<sst xmlns="http://schemas.openxmlformats.org/spreadsheetml/2006/main" count="22" uniqueCount="22">
  <si>
    <t>Completed 2013-2018</t>
  </si>
  <si>
    <t>Annual Incremental Savings (MWh)</t>
  </si>
  <si>
    <t>Annual Cummulative Savings (MWh)</t>
  </si>
  <si>
    <t>Annual Cummulative Savings (aMW)</t>
  </si>
  <si>
    <t>CVR - Line Drop Compensation (LDC)</t>
  </si>
  <si>
    <t>Cuumulative Units Installed (VVO &amp; CVR)</t>
  </si>
  <si>
    <t>Volt Var Optimization (VVO) - Substations where CVR Not Previously Implemented</t>
  </si>
  <si>
    <t>Volt Var Optimization (VVO) - Substations where CVR Previously Implemented</t>
  </si>
  <si>
    <t>Annual O&amp;M Costs</t>
  </si>
  <si>
    <t>Incremental Capital Cost</t>
  </si>
  <si>
    <t>Total Incremental Cost</t>
  </si>
  <si>
    <t>Note:</t>
  </si>
  <si>
    <t>2023 IRP</t>
  </si>
  <si>
    <t>WACC:</t>
  </si>
  <si>
    <t>Est. Cost per Station (VVO):</t>
  </si>
  <si>
    <t>Est. Cost per Station (LDC):</t>
  </si>
  <si>
    <t>Opex</t>
  </si>
  <si>
    <t>Capex</t>
  </si>
  <si>
    <t>Inflation:</t>
  </si>
  <si>
    <t>NPV of Savings MWh:</t>
  </si>
  <si>
    <t>NPV of Total Costs $:</t>
  </si>
  <si>
    <t>Levelized $/MWh: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</si>
</sst>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8" formatCode="&quot;$&quot;#,##0"/>
    <numFmt numFmtId="169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8" fontId="3" fillId="0" borderId="4" xfId="0" applyNumberFormat="1" applyFont="1" applyBorder="1" applyAlignment="1">
      <alignment horizontal="center" vertical="center" wrapText="1"/>
    </xf>
    <xf numFmtId="165" fontId="3" fillId="3" borderId="3" xfId="1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Alignment="1">
      <alignment vertical="center"/>
    </xf>
    <xf numFmtId="10" fontId="3" fillId="0" borderId="0" xfId="3" applyNumberFormat="1" applyFont="1" applyFill="1" applyBorder="1"/>
    <xf numFmtId="8" fontId="3" fillId="0" borderId="0" xfId="1" applyNumberFormat="1" applyFont="1" applyFill="1" applyBorder="1"/>
    <xf numFmtId="8" fontId="3" fillId="0" borderId="0" xfId="0" applyNumberFormat="1" applyFont="1" applyFill="1" applyBorder="1"/>
    <xf numFmtId="44" fontId="3" fillId="0" borderId="0" xfId="2" applyFont="1" applyFill="1" applyBorder="1"/>
    <xf numFmtId="43" fontId="3" fillId="0" borderId="0" xfId="1" applyFont="1"/>
    <xf numFmtId="43" fontId="3" fillId="0" borderId="0" xfId="0" applyNumberFormat="1" applyFont="1"/>
    <xf numFmtId="0" fontId="3" fillId="5" borderId="4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9" xfId="0" applyFont="1" applyBorder="1"/>
    <xf numFmtId="0" fontId="3" fillId="0" borderId="11" xfId="0" applyFont="1" applyBorder="1"/>
    <xf numFmtId="165" fontId="5" fillId="0" borderId="10" xfId="1" applyNumberFormat="1" applyFont="1" applyBorder="1"/>
    <xf numFmtId="6" fontId="5" fillId="0" borderId="10" xfId="0" applyNumberFormat="1" applyFont="1" applyBorder="1"/>
    <xf numFmtId="0" fontId="2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68" fontId="3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10" fontId="5" fillId="7" borderId="8" xfId="3" applyNumberFormat="1" applyFont="1" applyFill="1" applyBorder="1"/>
    <xf numFmtId="10" fontId="5" fillId="7" borderId="10" xfId="3" applyNumberFormat="1" applyFont="1" applyFill="1" applyBorder="1"/>
    <xf numFmtId="169" fontId="5" fillId="0" borderId="4" xfId="0" applyNumberFormat="1" applyFont="1" applyBorder="1"/>
    <xf numFmtId="168" fontId="3" fillId="5" borderId="4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66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 - Annual Cummulative Savings (aMW)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0574218415036"/>
          <c:y val="0.16326771324088299"/>
          <c:w val="0.83960426024861956"/>
          <c:h val="0.689216608340624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'DE Savings '!$B$9</c:f>
              <c:strCache>
                <c:ptCount val="1"/>
                <c:pt idx="0">
                  <c:v>Annual Cummulative Savings (aMW)</c:v>
                </c:pt>
              </c:strCache>
            </c:strRef>
          </c:tx>
          <c:spPr>
            <a:solidFill>
              <a:srgbClr val="006671"/>
            </a:solidFill>
          </c:spPr>
          <c:invertIfNegative val="0"/>
          <c:cat>
            <c:numRef>
              <c:f>'DE Savings '!$G$2:$AI$2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'DE Savings '!$G$9:$AI$9</c:f>
              <c:numCache>
                <c:formatCode>0.0</c:formatCode>
                <c:ptCount val="29"/>
                <c:pt idx="0">
                  <c:v>1.1044520547945205</c:v>
                </c:pt>
                <c:pt idx="1">
                  <c:v>2.349486301369863</c:v>
                </c:pt>
                <c:pt idx="2">
                  <c:v>3.3455136986301373</c:v>
                </c:pt>
                <c:pt idx="3">
                  <c:v>4.3740068493150686</c:v>
                </c:pt>
                <c:pt idx="4">
                  <c:v>5.4511986301369859</c:v>
                </c:pt>
                <c:pt idx="5">
                  <c:v>6.5283904109589042</c:v>
                </c:pt>
                <c:pt idx="6">
                  <c:v>7.6218150684931496</c:v>
                </c:pt>
                <c:pt idx="7">
                  <c:v>8.9118721461187196</c:v>
                </c:pt>
                <c:pt idx="8">
                  <c:v>10.20192922374429</c:v>
                </c:pt>
                <c:pt idx="9">
                  <c:v>11.49198630136986</c:v>
                </c:pt>
                <c:pt idx="10">
                  <c:v>12.484337899543377</c:v>
                </c:pt>
                <c:pt idx="11">
                  <c:v>12.484337899543377</c:v>
                </c:pt>
                <c:pt idx="12">
                  <c:v>12.484337899543377</c:v>
                </c:pt>
                <c:pt idx="13">
                  <c:v>12.484337899543377</c:v>
                </c:pt>
                <c:pt idx="14">
                  <c:v>12.484337899543377</c:v>
                </c:pt>
                <c:pt idx="15">
                  <c:v>12.484337899543377</c:v>
                </c:pt>
                <c:pt idx="16">
                  <c:v>12.484337899543377</c:v>
                </c:pt>
                <c:pt idx="17">
                  <c:v>12.484337899543377</c:v>
                </c:pt>
                <c:pt idx="18">
                  <c:v>12.484337899543377</c:v>
                </c:pt>
                <c:pt idx="19">
                  <c:v>12.484337899543377</c:v>
                </c:pt>
                <c:pt idx="20">
                  <c:v>12.484337899543377</c:v>
                </c:pt>
                <c:pt idx="21">
                  <c:v>12.484337899543377</c:v>
                </c:pt>
                <c:pt idx="22">
                  <c:v>12.484337899543377</c:v>
                </c:pt>
                <c:pt idx="23">
                  <c:v>12.484337899543377</c:v>
                </c:pt>
                <c:pt idx="24">
                  <c:v>12.484337899543377</c:v>
                </c:pt>
                <c:pt idx="25">
                  <c:v>12.484337899543377</c:v>
                </c:pt>
                <c:pt idx="26">
                  <c:v>12.484337899543377</c:v>
                </c:pt>
                <c:pt idx="27">
                  <c:v>12.484337899543377</c:v>
                </c:pt>
                <c:pt idx="28">
                  <c:v>12.484337899543377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C-4425-8745-938E4BAC8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239488"/>
        <c:axId val="187274752"/>
      </c:barChart>
      <c:catAx>
        <c:axId val="16823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87274752"/>
        <c:crosses val="autoZero"/>
        <c:auto val="1"/>
        <c:lblAlgn val="ctr"/>
        <c:lblOffset val="100"/>
        <c:tickLblSkip val="1"/>
        <c:noMultiLvlLbl val="0"/>
      </c:catAx>
      <c:valAx>
        <c:axId val="187274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Savings in aMW per year</a:t>
                </a:r>
              </a:p>
            </c:rich>
          </c:tx>
          <c:layout>
            <c:manualLayout>
              <c:xMode val="edge"/>
              <c:yMode val="edge"/>
              <c:x val="2.7498855728207882E-2"/>
              <c:y val="0.28702523663024387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682394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400" baseline="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964408</xdr:colOff>
      <xdr:row>13</xdr:row>
      <xdr:rowOff>143365</xdr:rowOff>
    </xdr:from>
    <xdr:to>
      <xdr:col>21</xdr:col>
      <xdr:colOff>23814</xdr:colOff>
      <xdr:row>36</xdr:row>
      <xdr:rowOff>130969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6"/>
  <sheetViews>
    <sheetView tabSelected="1" topLeftCell="C1" zoomScale="86" zoomScaleNormal="86" workbookViewId="0">
      <selection activeCell="L18" sqref="L18"/>
    </sheetView>
  </sheetViews>
  <sheetFormatPr defaultColWidth="9.140625" defaultRowHeight="18.75" x14ac:dyDescent="0.3"/>
  <cols>
    <col min="1" max="1" width="3.5703125" style="2" customWidth="1"/>
    <col min="2" max="2" width="35" style="2" customWidth="1"/>
    <col min="3" max="3" width="26" style="2" customWidth="1"/>
    <col min="4" max="4" width="14.28515625" style="2" bestFit="1" customWidth="1"/>
    <col min="5" max="5" width="12.42578125" style="2" bestFit="1" customWidth="1"/>
    <col min="6" max="6" width="10.7109375" style="2" customWidth="1"/>
    <col min="7" max="7" width="15.42578125" style="2" customWidth="1"/>
    <col min="8" max="8" width="18.140625" style="2" bestFit="1" customWidth="1"/>
    <col min="9" max="35" width="14.7109375" style="2" customWidth="1"/>
    <col min="36" max="36" width="9.28515625" style="2" bestFit="1" customWidth="1"/>
    <col min="37" max="16384" width="9.140625" style="2"/>
  </cols>
  <sheetData>
    <row r="1" spans="2:36" ht="19.5" thickBot="1" x14ac:dyDescent="0.35">
      <c r="B1" s="1" t="s">
        <v>12</v>
      </c>
      <c r="G1" s="2">
        <v>1</v>
      </c>
      <c r="H1" s="2">
        <v>2</v>
      </c>
      <c r="I1" s="2">
        <v>3</v>
      </c>
      <c r="J1" s="2">
        <v>4</v>
      </c>
      <c r="K1" s="2">
        <v>5</v>
      </c>
      <c r="L1" s="2">
        <v>6</v>
      </c>
      <c r="M1" s="2">
        <v>7</v>
      </c>
      <c r="N1" s="2">
        <v>8</v>
      </c>
      <c r="O1" s="2">
        <v>9</v>
      </c>
      <c r="P1" s="2">
        <v>10</v>
      </c>
      <c r="Q1" s="2">
        <v>11</v>
      </c>
      <c r="R1" s="2">
        <v>12</v>
      </c>
      <c r="S1" s="2">
        <v>13</v>
      </c>
      <c r="T1" s="2">
        <v>14</v>
      </c>
      <c r="U1" s="2">
        <v>15</v>
      </c>
      <c r="V1" s="2">
        <v>16</v>
      </c>
      <c r="W1" s="2">
        <v>17</v>
      </c>
      <c r="X1" s="2">
        <v>18</v>
      </c>
      <c r="Y1" s="2">
        <v>19</v>
      </c>
      <c r="Z1" s="2">
        <v>20</v>
      </c>
      <c r="AA1" s="2">
        <v>21</v>
      </c>
      <c r="AB1" s="2">
        <v>22</v>
      </c>
      <c r="AC1" s="2">
        <v>23</v>
      </c>
      <c r="AD1" s="2">
        <v>24</v>
      </c>
      <c r="AE1" s="2">
        <v>25</v>
      </c>
      <c r="AF1" s="2">
        <v>26</v>
      </c>
      <c r="AG1" s="2">
        <v>27</v>
      </c>
      <c r="AH1" s="2">
        <v>28</v>
      </c>
      <c r="AI1" s="2">
        <v>29</v>
      </c>
    </row>
    <row r="2" spans="2:36" ht="29.25" customHeight="1" thickBot="1" x14ac:dyDescent="0.35">
      <c r="B2" s="3"/>
      <c r="C2" s="4" t="s">
        <v>0</v>
      </c>
      <c r="D2" s="5">
        <v>2019</v>
      </c>
      <c r="E2" s="5">
        <v>2020</v>
      </c>
      <c r="F2" s="5">
        <v>2021</v>
      </c>
      <c r="G2" s="6">
        <v>2022</v>
      </c>
      <c r="H2" s="6">
        <v>2023</v>
      </c>
      <c r="I2" s="6">
        <v>2024</v>
      </c>
      <c r="J2" s="6">
        <v>2025</v>
      </c>
      <c r="K2" s="6">
        <v>2026</v>
      </c>
      <c r="L2" s="6">
        <v>2027</v>
      </c>
      <c r="M2" s="6">
        <v>2028</v>
      </c>
      <c r="N2" s="6">
        <v>2029</v>
      </c>
      <c r="O2" s="6">
        <v>2030</v>
      </c>
      <c r="P2" s="6">
        <v>2031</v>
      </c>
      <c r="Q2" s="6">
        <v>2032</v>
      </c>
      <c r="R2" s="6">
        <v>2033</v>
      </c>
      <c r="S2" s="6">
        <v>2034</v>
      </c>
      <c r="T2" s="6">
        <v>2035</v>
      </c>
      <c r="U2" s="6">
        <v>2036</v>
      </c>
      <c r="V2" s="6">
        <v>2037</v>
      </c>
      <c r="W2" s="6">
        <v>2038</v>
      </c>
      <c r="X2" s="6">
        <v>2039</v>
      </c>
      <c r="Y2" s="6">
        <v>2040</v>
      </c>
      <c r="Z2" s="6">
        <v>2041</v>
      </c>
      <c r="AA2" s="6">
        <v>2042</v>
      </c>
      <c r="AB2" s="6">
        <v>2043</v>
      </c>
      <c r="AC2" s="6">
        <v>2044</v>
      </c>
      <c r="AD2" s="6">
        <v>2045</v>
      </c>
      <c r="AE2" s="6">
        <v>2046</v>
      </c>
      <c r="AF2" s="6">
        <v>2047</v>
      </c>
      <c r="AG2" s="6">
        <v>2048</v>
      </c>
      <c r="AH2" s="6">
        <v>2049</v>
      </c>
      <c r="AI2" s="6">
        <v>2050</v>
      </c>
    </row>
    <row r="3" spans="2:36" ht="34.5" customHeight="1" thickBot="1" x14ac:dyDescent="0.35">
      <c r="B3" s="7" t="s">
        <v>4</v>
      </c>
      <c r="C3" s="8">
        <v>11</v>
      </c>
      <c r="D3" s="9">
        <v>1</v>
      </c>
      <c r="E3" s="9">
        <v>3</v>
      </c>
      <c r="F3" s="9">
        <v>5</v>
      </c>
      <c r="G3" s="10">
        <v>14</v>
      </c>
      <c r="H3" s="11">
        <v>15</v>
      </c>
      <c r="I3" s="11">
        <v>12</v>
      </c>
      <c r="J3" s="11">
        <v>10</v>
      </c>
      <c r="K3" s="11">
        <v>7</v>
      </c>
      <c r="L3" s="11">
        <v>7</v>
      </c>
      <c r="M3" s="11">
        <v>6</v>
      </c>
      <c r="N3" s="12"/>
      <c r="O3" s="12"/>
      <c r="P3" s="12"/>
      <c r="Q3" s="12"/>
      <c r="R3" s="12"/>
      <c r="S3" s="12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spans="2:36" ht="57" thickBot="1" x14ac:dyDescent="0.35">
      <c r="B4" s="7" t="s">
        <v>6</v>
      </c>
      <c r="C4" s="8"/>
      <c r="D4" s="9"/>
      <c r="E4" s="9"/>
      <c r="F4" s="9"/>
      <c r="G4" s="11"/>
      <c r="H4" s="11"/>
      <c r="I4" s="11"/>
      <c r="J4" s="13">
        <v>2</v>
      </c>
      <c r="K4" s="11">
        <v>5</v>
      </c>
      <c r="L4" s="11">
        <v>5</v>
      </c>
      <c r="M4" s="11">
        <v>6</v>
      </c>
      <c r="N4" s="11">
        <v>13</v>
      </c>
      <c r="O4" s="11">
        <v>13</v>
      </c>
      <c r="P4" s="11">
        <v>13</v>
      </c>
      <c r="Q4" s="11">
        <v>10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32">
        <v>2</v>
      </c>
      <c r="AD4" s="32">
        <v>5</v>
      </c>
      <c r="AE4" s="32">
        <v>5</v>
      </c>
      <c r="AF4" s="32">
        <v>6</v>
      </c>
      <c r="AG4" s="32">
        <v>13</v>
      </c>
      <c r="AH4" s="32">
        <v>13</v>
      </c>
      <c r="AI4" s="32">
        <v>13</v>
      </c>
      <c r="AJ4" s="1"/>
    </row>
    <row r="5" spans="2:36" ht="57" thickBot="1" x14ac:dyDescent="0.35">
      <c r="B5" s="7" t="s">
        <v>7</v>
      </c>
      <c r="C5" s="8"/>
      <c r="D5" s="9"/>
      <c r="E5" s="9"/>
      <c r="F5" s="9"/>
      <c r="G5" s="11"/>
      <c r="H5" s="11"/>
      <c r="I5" s="11"/>
      <c r="J5" s="13"/>
      <c r="K5" s="11"/>
      <c r="L5" s="11"/>
      <c r="M5" s="11"/>
      <c r="N5" s="11"/>
      <c r="O5" s="11"/>
      <c r="P5" s="11"/>
      <c r="Q5" s="11">
        <v>3</v>
      </c>
      <c r="R5" s="11">
        <v>13</v>
      </c>
      <c r="S5" s="14">
        <v>13</v>
      </c>
      <c r="T5" s="11">
        <v>13</v>
      </c>
      <c r="U5" s="11">
        <v>13</v>
      </c>
      <c r="V5" s="11">
        <v>13</v>
      </c>
      <c r="W5" s="11">
        <v>13</v>
      </c>
      <c r="X5" s="11">
        <v>10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"/>
    </row>
    <row r="6" spans="2:36" ht="38.25" thickBot="1" x14ac:dyDescent="0.35">
      <c r="B6" s="7" t="s">
        <v>5</v>
      </c>
      <c r="C6" s="8">
        <f>C3</f>
        <v>11</v>
      </c>
      <c r="D6" s="9">
        <f>C6+D3+D4</f>
        <v>12</v>
      </c>
      <c r="E6" s="9">
        <f t="shared" ref="E6:F6" si="0">D6+E3+E4</f>
        <v>15</v>
      </c>
      <c r="F6" s="9">
        <f t="shared" si="0"/>
        <v>20</v>
      </c>
      <c r="G6" s="11">
        <f>F6+G3+G4+G5</f>
        <v>34</v>
      </c>
      <c r="H6" s="11">
        <f t="shared" ref="H6:AC6" si="1">G6+H3+H4+H5</f>
        <v>49</v>
      </c>
      <c r="I6" s="11">
        <f t="shared" si="1"/>
        <v>61</v>
      </c>
      <c r="J6" s="11">
        <f t="shared" si="1"/>
        <v>73</v>
      </c>
      <c r="K6" s="11">
        <f t="shared" si="1"/>
        <v>85</v>
      </c>
      <c r="L6" s="11">
        <f t="shared" si="1"/>
        <v>97</v>
      </c>
      <c r="M6" s="11">
        <f t="shared" si="1"/>
        <v>109</v>
      </c>
      <c r="N6" s="11">
        <f t="shared" si="1"/>
        <v>122</v>
      </c>
      <c r="O6" s="11">
        <f t="shared" si="1"/>
        <v>135</v>
      </c>
      <c r="P6" s="11">
        <f t="shared" si="1"/>
        <v>148</v>
      </c>
      <c r="Q6" s="11">
        <f t="shared" si="1"/>
        <v>161</v>
      </c>
      <c r="R6" s="11">
        <f t="shared" si="1"/>
        <v>174</v>
      </c>
      <c r="S6" s="11">
        <f t="shared" si="1"/>
        <v>187</v>
      </c>
      <c r="T6" s="11">
        <f t="shared" si="1"/>
        <v>200</v>
      </c>
      <c r="U6" s="11">
        <f t="shared" si="1"/>
        <v>213</v>
      </c>
      <c r="V6" s="11">
        <f t="shared" si="1"/>
        <v>226</v>
      </c>
      <c r="W6" s="11">
        <f t="shared" si="1"/>
        <v>239</v>
      </c>
      <c r="X6" s="11">
        <f t="shared" si="1"/>
        <v>249</v>
      </c>
      <c r="Y6" s="11">
        <f t="shared" si="1"/>
        <v>249</v>
      </c>
      <c r="Z6" s="11">
        <f t="shared" si="1"/>
        <v>249</v>
      </c>
      <c r="AA6" s="11">
        <f t="shared" si="1"/>
        <v>249</v>
      </c>
      <c r="AB6" s="11">
        <f t="shared" si="1"/>
        <v>249</v>
      </c>
      <c r="AC6" s="11">
        <f t="shared" si="1"/>
        <v>251</v>
      </c>
      <c r="AD6" s="11">
        <f t="shared" ref="AD6" si="2">AC6+AD3+AD4+AD5</f>
        <v>256</v>
      </c>
      <c r="AE6" s="11">
        <f t="shared" ref="AE6" si="3">AD6+AE3+AE4+AE5</f>
        <v>261</v>
      </c>
      <c r="AF6" s="11">
        <f t="shared" ref="AF6" si="4">AE6+AF3+AF4+AF5</f>
        <v>267</v>
      </c>
      <c r="AG6" s="11">
        <f t="shared" ref="AG6" si="5">AF6+AG3+AG4+AG5</f>
        <v>280</v>
      </c>
      <c r="AH6" s="11">
        <f t="shared" ref="AH6" si="6">AG6+AH3+AH4+AH5</f>
        <v>293</v>
      </c>
      <c r="AI6" s="11">
        <f t="shared" ref="AI6" si="7">AH6+AI3+AI4+AI5</f>
        <v>306</v>
      </c>
    </row>
    <row r="7" spans="2:36" ht="38.25" thickBot="1" x14ac:dyDescent="0.35">
      <c r="B7" s="7" t="s">
        <v>1</v>
      </c>
      <c r="C7" s="15">
        <v>9891.65</v>
      </c>
      <c r="D7" s="16">
        <v>326.64400000000001</v>
      </c>
      <c r="E7" s="16">
        <v>2059</v>
      </c>
      <c r="F7" s="16">
        <v>2264</v>
      </c>
      <c r="G7" s="17">
        <f>727.1*(G3-4)+2404</f>
        <v>9675</v>
      </c>
      <c r="H7" s="17">
        <f>H3*727.1</f>
        <v>10906.5</v>
      </c>
      <c r="I7" s="17">
        <f>I3*727.1</f>
        <v>8725.2000000000007</v>
      </c>
      <c r="J7" s="17">
        <f>(727.1+142.2)*J4+727.1*J3</f>
        <v>9009.6</v>
      </c>
      <c r="K7" s="17">
        <f t="shared" ref="K7:AB7" si="8">(727.1+142.2)*K4+727.1*K3</f>
        <v>9436.2000000000007</v>
      </c>
      <c r="L7" s="17">
        <f t="shared" si="8"/>
        <v>9436.2000000000007</v>
      </c>
      <c r="M7" s="17">
        <f t="shared" si="8"/>
        <v>9578.4</v>
      </c>
      <c r="N7" s="17">
        <f t="shared" si="8"/>
        <v>11300.9</v>
      </c>
      <c r="O7" s="17">
        <f t="shared" si="8"/>
        <v>11300.9</v>
      </c>
      <c r="P7" s="17">
        <f t="shared" si="8"/>
        <v>11300.9</v>
      </c>
      <c r="Q7" s="17">
        <f t="shared" si="8"/>
        <v>8693</v>
      </c>
      <c r="R7" s="17">
        <f t="shared" si="8"/>
        <v>0</v>
      </c>
      <c r="S7" s="17">
        <f t="shared" si="8"/>
        <v>0</v>
      </c>
      <c r="T7" s="17">
        <f t="shared" si="8"/>
        <v>0</v>
      </c>
      <c r="U7" s="17">
        <f t="shared" si="8"/>
        <v>0</v>
      </c>
      <c r="V7" s="17">
        <f t="shared" si="8"/>
        <v>0</v>
      </c>
      <c r="W7" s="17">
        <f t="shared" si="8"/>
        <v>0</v>
      </c>
      <c r="X7" s="17">
        <f t="shared" si="8"/>
        <v>0</v>
      </c>
      <c r="Y7" s="17">
        <f t="shared" si="8"/>
        <v>0</v>
      </c>
      <c r="Z7" s="17">
        <f t="shared" si="8"/>
        <v>0</v>
      </c>
      <c r="AA7" s="17">
        <f t="shared" si="8"/>
        <v>0</v>
      </c>
      <c r="AB7" s="17">
        <f t="shared" si="8"/>
        <v>0</v>
      </c>
      <c r="AC7" s="17">
        <f>(727.1+142.2)*AC4+727.1*AC3-J4*(727.1+142.2)</f>
        <v>0</v>
      </c>
      <c r="AD7" s="17">
        <f t="shared" ref="AD7:AI7" si="9">(727.1+142.2)*AD4+727.1*AD3-K4*(727.1+142.2)</f>
        <v>0</v>
      </c>
      <c r="AE7" s="17">
        <f t="shared" si="9"/>
        <v>0</v>
      </c>
      <c r="AF7" s="17">
        <f t="shared" si="9"/>
        <v>0</v>
      </c>
      <c r="AG7" s="17">
        <f t="shared" si="9"/>
        <v>0</v>
      </c>
      <c r="AH7" s="17">
        <f t="shared" si="9"/>
        <v>0</v>
      </c>
      <c r="AI7" s="17">
        <f t="shared" si="9"/>
        <v>0</v>
      </c>
    </row>
    <row r="8" spans="2:36" ht="38.25" thickBot="1" x14ac:dyDescent="0.35">
      <c r="B8" s="7" t="s">
        <v>2</v>
      </c>
      <c r="C8" s="15">
        <f>C7</f>
        <v>9891.65</v>
      </c>
      <c r="D8" s="16">
        <f>D7+C8</f>
        <v>10218.294</v>
      </c>
      <c r="E8" s="16">
        <f>E7+D8</f>
        <v>12277.294</v>
      </c>
      <c r="F8" s="16">
        <f>F7+E8</f>
        <v>14541.294</v>
      </c>
      <c r="G8" s="18">
        <f>G7</f>
        <v>9675</v>
      </c>
      <c r="H8" s="18">
        <f>H7+G8</f>
        <v>20581.5</v>
      </c>
      <c r="I8" s="18">
        <f>I7+H8</f>
        <v>29306.7</v>
      </c>
      <c r="J8" s="18">
        <f t="shared" ref="J8:AC8" si="10">J7+I8</f>
        <v>38316.300000000003</v>
      </c>
      <c r="K8" s="18">
        <f t="shared" si="10"/>
        <v>47752.5</v>
      </c>
      <c r="L8" s="18">
        <f t="shared" si="10"/>
        <v>57188.7</v>
      </c>
      <c r="M8" s="18">
        <f t="shared" si="10"/>
        <v>66767.099999999991</v>
      </c>
      <c r="N8" s="18">
        <f t="shared" si="10"/>
        <v>78067.999999999985</v>
      </c>
      <c r="O8" s="18">
        <f t="shared" si="10"/>
        <v>89368.89999999998</v>
      </c>
      <c r="P8" s="18">
        <f t="shared" si="10"/>
        <v>100669.79999999997</v>
      </c>
      <c r="Q8" s="18">
        <f t="shared" si="10"/>
        <v>109362.79999999997</v>
      </c>
      <c r="R8" s="18">
        <f t="shared" si="10"/>
        <v>109362.79999999997</v>
      </c>
      <c r="S8" s="18">
        <f t="shared" si="10"/>
        <v>109362.79999999997</v>
      </c>
      <c r="T8" s="18">
        <f t="shared" si="10"/>
        <v>109362.79999999997</v>
      </c>
      <c r="U8" s="18">
        <f t="shared" si="10"/>
        <v>109362.79999999997</v>
      </c>
      <c r="V8" s="18">
        <f t="shared" si="10"/>
        <v>109362.79999999997</v>
      </c>
      <c r="W8" s="18">
        <f t="shared" si="10"/>
        <v>109362.79999999997</v>
      </c>
      <c r="X8" s="18">
        <f t="shared" si="10"/>
        <v>109362.79999999997</v>
      </c>
      <c r="Y8" s="18">
        <f t="shared" si="10"/>
        <v>109362.79999999997</v>
      </c>
      <c r="Z8" s="18">
        <f t="shared" si="10"/>
        <v>109362.79999999997</v>
      </c>
      <c r="AA8" s="18">
        <f t="shared" si="10"/>
        <v>109362.79999999997</v>
      </c>
      <c r="AB8" s="18">
        <f t="shared" si="10"/>
        <v>109362.79999999997</v>
      </c>
      <c r="AC8" s="18">
        <f t="shared" si="10"/>
        <v>109362.79999999997</v>
      </c>
      <c r="AD8" s="18">
        <f t="shared" ref="AD8" si="11">AD7+AC8</f>
        <v>109362.79999999997</v>
      </c>
      <c r="AE8" s="18">
        <f t="shared" ref="AE8" si="12">AE7+AD8</f>
        <v>109362.79999999997</v>
      </c>
      <c r="AF8" s="18">
        <f t="shared" ref="AF8" si="13">AF7+AE8</f>
        <v>109362.79999999997</v>
      </c>
      <c r="AG8" s="18">
        <f t="shared" ref="AG8" si="14">AG7+AF8</f>
        <v>109362.79999999997</v>
      </c>
      <c r="AH8" s="18">
        <f t="shared" ref="AH8" si="15">AH7+AG8</f>
        <v>109362.79999999997</v>
      </c>
      <c r="AI8" s="18">
        <f t="shared" ref="AI8" si="16">AI7+AH8</f>
        <v>109362.79999999997</v>
      </c>
    </row>
    <row r="9" spans="2:36" ht="38.25" thickBot="1" x14ac:dyDescent="0.35">
      <c r="B9" s="7" t="s">
        <v>3</v>
      </c>
      <c r="C9" s="19">
        <f>C8/8760</f>
        <v>1.1291837899543378</v>
      </c>
      <c r="D9" s="20">
        <f t="shared" ref="D9:X9" si="17">D8/8760</f>
        <v>1.1664719178082192</v>
      </c>
      <c r="E9" s="20">
        <f t="shared" si="17"/>
        <v>1.4015175799086759</v>
      </c>
      <c r="F9" s="20">
        <f t="shared" si="17"/>
        <v>1.6599650684931506</v>
      </c>
      <c r="G9" s="21">
        <f>G7/8760</f>
        <v>1.1044520547945205</v>
      </c>
      <c r="H9" s="21">
        <f>H8/8760</f>
        <v>2.349486301369863</v>
      </c>
      <c r="I9" s="21">
        <f t="shared" si="17"/>
        <v>3.3455136986301373</v>
      </c>
      <c r="J9" s="21">
        <f t="shared" si="17"/>
        <v>4.3740068493150686</v>
      </c>
      <c r="K9" s="21">
        <f t="shared" si="17"/>
        <v>5.4511986301369859</v>
      </c>
      <c r="L9" s="21">
        <f t="shared" si="17"/>
        <v>6.5283904109589042</v>
      </c>
      <c r="M9" s="21">
        <f t="shared" si="17"/>
        <v>7.6218150684931496</v>
      </c>
      <c r="N9" s="21">
        <f t="shared" si="17"/>
        <v>8.9118721461187196</v>
      </c>
      <c r="O9" s="21">
        <f t="shared" si="17"/>
        <v>10.20192922374429</v>
      </c>
      <c r="P9" s="21">
        <f t="shared" si="17"/>
        <v>11.49198630136986</v>
      </c>
      <c r="Q9" s="21">
        <f t="shared" si="17"/>
        <v>12.484337899543377</v>
      </c>
      <c r="R9" s="21">
        <f t="shared" si="17"/>
        <v>12.484337899543377</v>
      </c>
      <c r="S9" s="21">
        <f t="shared" si="17"/>
        <v>12.484337899543377</v>
      </c>
      <c r="T9" s="21">
        <f t="shared" si="17"/>
        <v>12.484337899543377</v>
      </c>
      <c r="U9" s="21">
        <f t="shared" si="17"/>
        <v>12.484337899543377</v>
      </c>
      <c r="V9" s="21">
        <f t="shared" si="17"/>
        <v>12.484337899543377</v>
      </c>
      <c r="W9" s="21">
        <f t="shared" si="17"/>
        <v>12.484337899543377</v>
      </c>
      <c r="X9" s="21">
        <f t="shared" si="17"/>
        <v>12.484337899543377</v>
      </c>
      <c r="Y9" s="21">
        <f t="shared" ref="Y9:Z9" si="18">Y8/8760</f>
        <v>12.484337899543377</v>
      </c>
      <c r="Z9" s="21">
        <f t="shared" si="18"/>
        <v>12.484337899543377</v>
      </c>
      <c r="AA9" s="21">
        <f t="shared" ref="AA9:AC9" si="19">AA8/8760</f>
        <v>12.484337899543377</v>
      </c>
      <c r="AB9" s="21">
        <f t="shared" si="19"/>
        <v>12.484337899543377</v>
      </c>
      <c r="AC9" s="21">
        <f t="shared" si="19"/>
        <v>12.484337899543377</v>
      </c>
      <c r="AD9" s="21">
        <f t="shared" ref="AD9:AI9" si="20">AD8/8760</f>
        <v>12.484337899543377</v>
      </c>
      <c r="AE9" s="21">
        <f t="shared" si="20"/>
        <v>12.484337899543377</v>
      </c>
      <c r="AF9" s="21">
        <f t="shared" si="20"/>
        <v>12.484337899543377</v>
      </c>
      <c r="AG9" s="21">
        <f t="shared" si="20"/>
        <v>12.484337899543377</v>
      </c>
      <c r="AH9" s="21">
        <f t="shared" si="20"/>
        <v>12.484337899543377</v>
      </c>
      <c r="AI9" s="21">
        <f t="shared" si="20"/>
        <v>12.484337899543377</v>
      </c>
    </row>
    <row r="10" spans="2:36" ht="19.5" thickBot="1" x14ac:dyDescent="0.35">
      <c r="B10" s="7" t="s">
        <v>8</v>
      </c>
      <c r="C10" s="15"/>
      <c r="D10" s="16"/>
      <c r="E10" s="16"/>
      <c r="F10" s="16"/>
      <c r="G10" s="14">
        <f>G3*$D$15*(1+$H$15)^F1+(G4+G5)*$D$16*(1+$H$15)^F1</f>
        <v>560000</v>
      </c>
      <c r="H10" s="14">
        <f>H3*$D$15*(1+$H$15)^G1+(H4+H5)*$D$16*(1+$H$15)^G1</f>
        <v>615000</v>
      </c>
      <c r="I10" s="14">
        <f t="shared" ref="I10:AI10" si="21">I3*$D$15*(1+$H$15)^H1+(I4+I5)*$D$16*(1+$H$15)^H1</f>
        <v>504299.99999999994</v>
      </c>
      <c r="J10" s="14">
        <f t="shared" si="21"/>
        <v>559983.12499999988</v>
      </c>
      <c r="K10" s="14">
        <f t="shared" si="21"/>
        <v>640211.47656249988</v>
      </c>
      <c r="L10" s="14">
        <f t="shared" si="21"/>
        <v>656216.76347656222</v>
      </c>
      <c r="M10" s="14">
        <f t="shared" si="21"/>
        <v>695816.05092773412</v>
      </c>
      <c r="N10" s="14">
        <f t="shared" si="21"/>
        <v>927174.88786120573</v>
      </c>
      <c r="O10" s="14">
        <f t="shared" si="21"/>
        <v>950354.26005773584</v>
      </c>
      <c r="P10" s="14">
        <f t="shared" si="21"/>
        <v>974113.11655917903</v>
      </c>
      <c r="Q10" s="14">
        <f t="shared" si="21"/>
        <v>998465.94447315857</v>
      </c>
      <c r="R10" s="14">
        <f t="shared" si="21"/>
        <v>1023427.5930849875</v>
      </c>
      <c r="S10" s="14">
        <f t="shared" si="21"/>
        <v>1049013.2829121121</v>
      </c>
      <c r="T10" s="14">
        <f t="shared" si="21"/>
        <v>1075238.6149849149</v>
      </c>
      <c r="U10" s="14">
        <f t="shared" si="21"/>
        <v>1102119.5803595376</v>
      </c>
      <c r="V10" s="14">
        <f t="shared" si="21"/>
        <v>1129672.5698685262</v>
      </c>
      <c r="W10" s="14">
        <f t="shared" si="21"/>
        <v>1157914.3841152391</v>
      </c>
      <c r="X10" s="14">
        <f t="shared" si="21"/>
        <v>912970.95670624624</v>
      </c>
      <c r="Y10" s="14">
        <f t="shared" si="21"/>
        <v>0</v>
      </c>
      <c r="Z10" s="14">
        <f t="shared" si="21"/>
        <v>0</v>
      </c>
      <c r="AA10" s="14">
        <f t="shared" si="21"/>
        <v>0</v>
      </c>
      <c r="AB10" s="14">
        <f t="shared" si="21"/>
        <v>0</v>
      </c>
      <c r="AC10" s="48">
        <f t="shared" si="21"/>
        <v>206588.56770961158</v>
      </c>
      <c r="AD10" s="48">
        <f t="shared" si="21"/>
        <v>529383.20475587971</v>
      </c>
      <c r="AE10" s="48">
        <f t="shared" si="21"/>
        <v>542617.78487477673</v>
      </c>
      <c r="AF10" s="48">
        <f t="shared" si="21"/>
        <v>667419.87539597519</v>
      </c>
      <c r="AG10" s="48">
        <f t="shared" si="21"/>
        <v>1482228.3066085614</v>
      </c>
      <c r="AH10" s="48">
        <f t="shared" si="21"/>
        <v>1519284.0142737755</v>
      </c>
      <c r="AI10" s="48">
        <f t="shared" si="21"/>
        <v>1557266.1146306198</v>
      </c>
    </row>
    <row r="11" spans="2:36" ht="19.5" thickBot="1" x14ac:dyDescent="0.35">
      <c r="B11" s="7" t="s">
        <v>9</v>
      </c>
      <c r="C11" s="15"/>
      <c r="D11" s="16"/>
      <c r="E11" s="16"/>
      <c r="F11" s="16"/>
      <c r="G11" s="22">
        <f>G3*$C$15*(1+$H$15)^F1+(G4+G5)*$C$16*(1+$H$15)^F1</f>
        <v>3500000</v>
      </c>
      <c r="H11" s="22">
        <f t="shared" ref="H11:AI11" si="22">H3*$C$15*(1+$H$15)^G1+(H4+H5)*$C$16*(1+$H$15)^G1</f>
        <v>3843749.9999999995</v>
      </c>
      <c r="I11" s="22">
        <f t="shared" si="22"/>
        <v>3151874.9999999995</v>
      </c>
      <c r="J11" s="22">
        <f t="shared" si="22"/>
        <v>3607583.5937499995</v>
      </c>
      <c r="K11" s="22">
        <f t="shared" si="22"/>
        <v>4277274.9511718741</v>
      </c>
      <c r="L11" s="22">
        <f t="shared" si="22"/>
        <v>4384206.82495117</v>
      </c>
      <c r="M11" s="22">
        <f t="shared" si="22"/>
        <v>4696758.343762205</v>
      </c>
      <c r="N11" s="22">
        <f t="shared" si="22"/>
        <v>6567488.7890168745</v>
      </c>
      <c r="O11" s="22">
        <f t="shared" si="22"/>
        <v>6731676.0087422952</v>
      </c>
      <c r="P11" s="22">
        <f t="shared" si="22"/>
        <v>6899967.9089608518</v>
      </c>
      <c r="Q11" s="22">
        <f t="shared" si="22"/>
        <v>7072467.1066848729</v>
      </c>
      <c r="R11" s="22">
        <f t="shared" si="22"/>
        <v>7249278.7843519943</v>
      </c>
      <c r="S11" s="22">
        <f t="shared" si="22"/>
        <v>7430510.7539607938</v>
      </c>
      <c r="T11" s="22">
        <f t="shared" si="22"/>
        <v>7616273.5228098137</v>
      </c>
      <c r="U11" s="22">
        <f t="shared" si="22"/>
        <v>7806680.3608800573</v>
      </c>
      <c r="V11" s="22">
        <f t="shared" si="22"/>
        <v>8001847.3699020604</v>
      </c>
      <c r="W11" s="22">
        <f t="shared" si="22"/>
        <v>8201893.5541496109</v>
      </c>
      <c r="X11" s="22">
        <f t="shared" si="22"/>
        <v>6466877.6100025773</v>
      </c>
      <c r="Y11" s="22">
        <f t="shared" si="22"/>
        <v>0</v>
      </c>
      <c r="Z11" s="22">
        <f t="shared" si="22"/>
        <v>0</v>
      </c>
      <c r="AA11" s="22">
        <f t="shared" si="22"/>
        <v>0</v>
      </c>
      <c r="AB11" s="22">
        <f t="shared" si="22"/>
        <v>0</v>
      </c>
      <c r="AC11" s="48">
        <f t="shared" si="22"/>
        <v>1463335.6879430821</v>
      </c>
      <c r="AD11" s="48">
        <f t="shared" si="22"/>
        <v>3749797.7003541482</v>
      </c>
      <c r="AE11" s="48">
        <f t="shared" si="22"/>
        <v>3843542.6428630017</v>
      </c>
      <c r="AF11" s="48">
        <f t="shared" si="22"/>
        <v>4727557.4507214911</v>
      </c>
      <c r="AG11" s="48">
        <f t="shared" si="22"/>
        <v>10499117.171810644</v>
      </c>
      <c r="AH11" s="48">
        <f t="shared" si="22"/>
        <v>10761595.10110591</v>
      </c>
      <c r="AI11" s="48">
        <f t="shared" si="22"/>
        <v>11030634.978633557</v>
      </c>
    </row>
    <row r="12" spans="2:36" ht="19.5" thickBot="1" x14ac:dyDescent="0.35">
      <c r="B12" s="7" t="s">
        <v>10</v>
      </c>
      <c r="C12" s="19"/>
      <c r="D12" s="20"/>
      <c r="E12" s="20"/>
      <c r="F12" s="20"/>
      <c r="G12" s="14">
        <f>SUM(G10:G11)</f>
        <v>4060000</v>
      </c>
      <c r="H12" s="14">
        <f t="shared" ref="H12:AC12" si="23">SUM(H10:H11)</f>
        <v>4458750</v>
      </c>
      <c r="I12" s="14">
        <f t="shared" si="23"/>
        <v>3656174.9999999995</v>
      </c>
      <c r="J12" s="14">
        <f t="shared" si="23"/>
        <v>4167566.7187499995</v>
      </c>
      <c r="K12" s="14">
        <f t="shared" si="23"/>
        <v>4917486.4277343741</v>
      </c>
      <c r="L12" s="14">
        <f t="shared" si="23"/>
        <v>5040423.5884277318</v>
      </c>
      <c r="M12" s="14">
        <f t="shared" si="23"/>
        <v>5392574.394689939</v>
      </c>
      <c r="N12" s="14">
        <f t="shared" si="23"/>
        <v>7494663.6768780798</v>
      </c>
      <c r="O12" s="14">
        <f t="shared" si="23"/>
        <v>7682030.2688000314</v>
      </c>
      <c r="P12" s="14">
        <f t="shared" si="23"/>
        <v>7874081.0255200304</v>
      </c>
      <c r="Q12" s="14">
        <f t="shared" si="23"/>
        <v>8070933.0511580314</v>
      </c>
      <c r="R12" s="14">
        <f t="shared" si="23"/>
        <v>8272706.3774369815</v>
      </c>
      <c r="S12" s="14">
        <f t="shared" si="23"/>
        <v>8479524.0368729066</v>
      </c>
      <c r="T12" s="14">
        <f t="shared" si="23"/>
        <v>8691512.1377947293</v>
      </c>
      <c r="U12" s="14">
        <f t="shared" si="23"/>
        <v>8908799.9412395954</v>
      </c>
      <c r="V12" s="14">
        <f t="shared" si="23"/>
        <v>9131519.9397705868</v>
      </c>
      <c r="W12" s="14">
        <f t="shared" si="23"/>
        <v>9359807.9382648505</v>
      </c>
      <c r="X12" s="14">
        <f t="shared" si="23"/>
        <v>7379848.5667088237</v>
      </c>
      <c r="Y12" s="14">
        <f t="shared" si="23"/>
        <v>0</v>
      </c>
      <c r="Z12" s="14">
        <f t="shared" si="23"/>
        <v>0</v>
      </c>
      <c r="AA12" s="14">
        <f t="shared" si="23"/>
        <v>0</v>
      </c>
      <c r="AB12" s="14">
        <f t="shared" si="23"/>
        <v>0</v>
      </c>
      <c r="AC12" s="14">
        <f t="shared" si="23"/>
        <v>1669924.2556526936</v>
      </c>
      <c r="AD12" s="14">
        <f t="shared" ref="AD12" si="24">SUM(AD10:AD11)</f>
        <v>4279180.9051100276</v>
      </c>
      <c r="AE12" s="14">
        <f t="shared" ref="AE12" si="25">SUM(AE10:AE11)</f>
        <v>4386160.4277377781</v>
      </c>
      <c r="AF12" s="14">
        <f t="shared" ref="AF12" si="26">SUM(AF10:AF11)</f>
        <v>5394977.3261174662</v>
      </c>
      <c r="AG12" s="14">
        <f t="shared" ref="AG12" si="27">SUM(AG10:AG11)</f>
        <v>11981345.478419205</v>
      </c>
      <c r="AH12" s="14">
        <f t="shared" ref="AH12" si="28">SUM(AH10:AH11)</f>
        <v>12280879.115379686</v>
      </c>
      <c r="AI12" s="14">
        <f t="shared" ref="AI12" si="29">SUM(AI10:AI11)</f>
        <v>12587901.093264176</v>
      </c>
    </row>
    <row r="13" spans="2:36" ht="19.5" thickBot="1" x14ac:dyDescent="0.35">
      <c r="B13" s="23"/>
      <c r="C13" s="24"/>
      <c r="D13" s="24"/>
    </row>
    <row r="14" spans="2:36" x14ac:dyDescent="0.3">
      <c r="B14" s="38" t="s">
        <v>11</v>
      </c>
      <c r="C14" s="39" t="s">
        <v>17</v>
      </c>
      <c r="D14" s="39" t="s">
        <v>16</v>
      </c>
      <c r="F14" s="33"/>
      <c r="G14" s="42" t="s">
        <v>13</v>
      </c>
      <c r="H14" s="45">
        <v>6.8000000000000005E-2</v>
      </c>
    </row>
    <row r="15" spans="2:36" x14ac:dyDescent="0.3">
      <c r="B15" s="40" t="s">
        <v>15</v>
      </c>
      <c r="C15" s="41">
        <v>250000</v>
      </c>
      <c r="D15" s="41">
        <v>40000</v>
      </c>
      <c r="F15" s="34"/>
      <c r="G15" s="43" t="s">
        <v>18</v>
      </c>
      <c r="H15" s="46">
        <v>2.5000000000000001E-2</v>
      </c>
    </row>
    <row r="16" spans="2:36" x14ac:dyDescent="0.3">
      <c r="B16" s="40" t="s">
        <v>14</v>
      </c>
      <c r="C16" s="41">
        <v>425000</v>
      </c>
      <c r="D16" s="41">
        <v>60000</v>
      </c>
      <c r="F16" s="34"/>
      <c r="G16" s="43" t="s">
        <v>19</v>
      </c>
      <c r="H16" s="36">
        <f>NPV(H14,G8:AI8)</f>
        <v>937680.74446005851</v>
      </c>
    </row>
    <row r="17" spans="2:8" x14ac:dyDescent="0.3">
      <c r="B17" s="25"/>
      <c r="F17" s="34"/>
      <c r="G17" s="43" t="s">
        <v>20</v>
      </c>
      <c r="H17" s="37">
        <f>NPV(H14,G12:AI12)</f>
        <v>72484960.305356354</v>
      </c>
    </row>
    <row r="18" spans="2:8" ht="19.5" thickBot="1" x14ac:dyDescent="0.35">
      <c r="B18" s="1"/>
      <c r="C18" s="24"/>
      <c r="D18" s="24"/>
      <c r="F18" s="35"/>
      <c r="G18" s="44" t="s">
        <v>21</v>
      </c>
      <c r="H18" s="47">
        <f>PMT(H14,29,-H17,,)/PMT(H14,29,-H16,,)</f>
        <v>77.302387548861432</v>
      </c>
    </row>
    <row r="20" spans="2:8" x14ac:dyDescent="0.3">
      <c r="C20" s="26"/>
    </row>
    <row r="21" spans="2:8" x14ac:dyDescent="0.3">
      <c r="C21" s="27"/>
    </row>
    <row r="22" spans="2:8" x14ac:dyDescent="0.3">
      <c r="C22" s="28"/>
    </row>
    <row r="23" spans="2:8" x14ac:dyDescent="0.3">
      <c r="C23" s="29"/>
    </row>
    <row r="40" spans="3:7" x14ac:dyDescent="0.3">
      <c r="C40" s="30"/>
      <c r="D40" s="30"/>
      <c r="E40" s="30"/>
    </row>
    <row r="41" spans="3:7" x14ac:dyDescent="0.3">
      <c r="C41" s="30"/>
      <c r="D41" s="31"/>
      <c r="E41" s="31"/>
      <c r="F41" s="30"/>
      <c r="G41" s="30"/>
    </row>
    <row r="42" spans="3:7" x14ac:dyDescent="0.3">
      <c r="E42" s="30"/>
      <c r="F42" s="30"/>
      <c r="G42" s="30"/>
    </row>
    <row r="43" spans="3:7" x14ac:dyDescent="0.3">
      <c r="C43" s="30"/>
      <c r="D43" s="30"/>
      <c r="F43" s="30"/>
      <c r="G43" s="30"/>
    </row>
    <row r="44" spans="3:7" x14ac:dyDescent="0.3">
      <c r="C44" s="30"/>
      <c r="D44" s="30"/>
    </row>
    <row r="45" spans="3:7" x14ac:dyDescent="0.3">
      <c r="C45" s="30"/>
      <c r="D45" s="30"/>
    </row>
    <row r="46" spans="3:7" x14ac:dyDescent="0.3">
      <c r="C46" s="30"/>
      <c r="D46" s="30"/>
    </row>
  </sheetData>
  <pageMargins left="0.7" right="0.7" top="0.75" bottom="0.75" header="0.3" footer="0.3"/>
  <pageSetup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505698CA04C43D45AEDAF50110BA23A2" ma:contentTypeVersion="52" ma:contentTypeDescription="" ma:contentTypeScope="" ma:versionID="e22b57e6843e6109cbbb6b70f1963938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140</IndustryCode>
    <CaseStatus xmlns="dc463f71-b30c-4ab2-9473-d307f9d35888">Pending</CaseStatus>
    <OpenedDate xmlns="dc463f71-b30c-4ab2-9473-d307f9d35888">2020-04-01T07:00:00+00:00</OpenedDate>
    <SignificantOrder xmlns="dc463f71-b30c-4ab2-9473-d307f9d35888">false</SignificantOrder>
    <Date1 xmlns="dc463f71-b30c-4ab2-9473-d307f9d35888">2023-03-31T07:00:00+00:00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200304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5E22EBC6-1EAB-455C-8218-BD7509EF4D79}"/>
</file>

<file path=customXml/itemProps2.xml><?xml version="1.0" encoding="utf-8"?>
<ds:datastoreItem xmlns:ds="http://schemas.openxmlformats.org/officeDocument/2006/customXml" ds:itemID="{24C1BF60-89F0-4E5A-8068-4CA5E571DA9A}"/>
</file>

<file path=customXml/itemProps3.xml><?xml version="1.0" encoding="utf-8"?>
<ds:datastoreItem xmlns:ds="http://schemas.openxmlformats.org/officeDocument/2006/customXml" ds:itemID="{574E7497-8ABE-4B82-B226-29B09882F5E3}"/>
</file>

<file path=customXml/itemProps4.xml><?xml version="1.0" encoding="utf-8"?>
<ds:datastoreItem xmlns:ds="http://schemas.openxmlformats.org/officeDocument/2006/customXml" ds:itemID="{2EDA7BA0-0A94-456E-ABC1-E0E314B497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 Savings 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Singh, Gurvinder</dc:creator>
  <cp:lastModifiedBy>Critchfield, Nathan</cp:lastModifiedBy>
  <dcterms:created xsi:type="dcterms:W3CDTF">2018-11-12T18:47:20Z</dcterms:created>
  <dcterms:modified xsi:type="dcterms:W3CDTF">2023-03-29T22:44:46Z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0x0101006E56B4D1795A2E4DB2F0B01679ED314A00505698CA04C43D45AEDAF50110BA23A2</vt:lpwstr>
  </property>
  <property fmtid="{D5CDD505-2E9C-101B-9397-08002B2CF9AE}" pid="3" name="_docset_NoMedatataSyncRequired">
    <vt:lpwstr>False</vt:lpwstr>
  </property>
</Properties>
</file>