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drawings/drawing10.xml" ContentType="application/vnd.openxmlformats-officedocument.drawing+xml"/>
  <Override PartName="/xl/drawings/drawing9.xml" ContentType="application/vnd.openxmlformats-officedocument.drawing+xml"/>
  <Override PartName="/xl/drawings/drawing8.xml" ContentType="application/vnd.openxmlformats-officedocument.drawing+xml"/>
  <Override PartName="/xl/drawings/drawing7.xml" ContentType="application/vnd.openxmlformats-officedocument.drawing+xml"/>
  <Override PartName="/xl/drawings/drawing6.xml" ContentType="application/vnd.openxmlformats-officedocument.drawing+xml"/>
  <Override PartName="/xl/drawings/drawing5.xml" ContentType="application/vnd.openxmlformats-officedocument.drawing+xml"/>
  <Override PartName="/xl/drawings/drawing4.xml" ContentType="application/vnd.openxmlformats-officedocument.drawing+xml"/>
  <Override PartName="/xl/worksheets/sheet1.xml" ContentType="application/vnd.openxmlformats-officedocument.spreadsheetml.worksheet+xml"/>
  <Override PartName="/xl/drawings/drawing3.xml" ContentType="application/vnd.openxmlformats-officedocument.drawing+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harts/colors1.xml" ContentType="application/vnd.ms-office.chartcolorstyle+xml"/>
  <Override PartName="/xl/worksheets/sheet3.xml" ContentType="application/vnd.openxmlformats-officedocument.spreadsheetml.worksheet+xml"/>
  <Override PartName="/xl/charts/style1.xml" ContentType="application/vnd.ms-office.chartstyle+xml"/>
  <Override PartName="/xl/charts/chart1.xml" ContentType="application/vnd.openxmlformats-officedocument.drawingml.chart+xml"/>
  <Override PartName="/xl/drawings/drawing1.xml" ContentType="application/vnd.openxmlformats-officedocument.drawing+xml"/>
  <Override PartName="/docProps/app.xml" ContentType="application/vnd.openxmlformats-officedocument.extended-properties+xml"/>
  <Override PartName="/xl/calcChain.xml" ContentType="application/vnd.openxmlformats-officedocument.spreadsheetml.calcChain+xml"/>
  <Override PartName="/docProps/custom.xml" ContentType="application/vnd.openxmlformats-officedocument.custom-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ore.xml" ContentType="application/vnd.openxmlformats-package.core-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pestfile01v01\REACQ\ResourcePlanning\2023 IRP\04. IRP Book\Electric Progress Report\8 - Electric Analysis\Support\"/>
    </mc:Choice>
  </mc:AlternateContent>
  <bookViews>
    <workbookView xWindow="0" yWindow="0" windowWidth="23040" windowHeight="8676" firstSheet="14" activeTab="17"/>
  </bookViews>
  <sheets>
    <sheet name="ReadMe" sheetId="1" r:id="rId1"/>
    <sheet name="Calculator" sheetId="6" r:id="rId2"/>
    <sheet name="Plot_CBI_Index_and_Cost" sheetId="36" r:id="rId3"/>
    <sheet name="Data_Input=&gt;" sheetId="18" r:id="rId4"/>
    <sheet name="Aurora_Output" sheetId="26" r:id="rId5"/>
    <sheet name="Plot_Data" sheetId="34" r:id="rId6"/>
    <sheet name="Updated_Automatically=&gt;" sheetId="19" r:id="rId7"/>
    <sheet name="Emissions_All" sheetId="3" r:id="rId8"/>
    <sheet name="PortfolioCost" sheetId="5" r:id="rId9"/>
    <sheet name="Jobs_Creation" sheetId="13" r:id="rId10"/>
    <sheet name="DR_Peak_Capacity" sheetId="15" r:id="rId11"/>
    <sheet name="DER_Solar_Participation" sheetId="27" r:id="rId12"/>
    <sheet name="DER_Storage_Participation" sheetId="17" r:id="rId13"/>
    <sheet name="EE_Added" sheetId="16" r:id="rId14"/>
    <sheet name="DR_Participation" sheetId="12" r:id="rId15"/>
    <sheet name="Calculation_Worksheetss=&gt;" sheetId="28" r:id="rId16"/>
    <sheet name="Jobs_Per_MW" sheetId="10" r:id="rId17"/>
    <sheet name="Net_Metering_Data" sheetId="23" r:id="rId18"/>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23" l="1"/>
  <c r="E7" i="6" l="1"/>
  <c r="D6" i="34" l="1"/>
  <c r="Q7" i="34"/>
  <c r="Q8" i="34"/>
  <c r="Q9" i="34"/>
  <c r="Q10" i="34"/>
  <c r="Q11" i="34"/>
  <c r="Q12" i="34"/>
  <c r="Q6" i="34"/>
  <c r="J7" i="34"/>
  <c r="J8" i="34"/>
  <c r="J9" i="34"/>
  <c r="J10" i="34"/>
  <c r="J11" i="34"/>
  <c r="J12" i="34"/>
  <c r="J13" i="34"/>
  <c r="J14" i="34"/>
  <c r="J15" i="34"/>
  <c r="J16" i="34"/>
  <c r="J6" i="34"/>
  <c r="H6" i="34"/>
  <c r="H14" i="34"/>
  <c r="H15" i="34"/>
  <c r="U39" i="16" l="1"/>
  <c r="C39" i="16"/>
  <c r="D39" i="16"/>
  <c r="E39" i="16"/>
  <c r="F39" i="16"/>
  <c r="G39" i="16"/>
  <c r="H39" i="16"/>
  <c r="I39" i="16"/>
  <c r="J39" i="16"/>
  <c r="K39" i="16"/>
  <c r="L39" i="16"/>
  <c r="M39" i="16"/>
  <c r="N39" i="16"/>
  <c r="O39" i="16"/>
  <c r="P39" i="16"/>
  <c r="Q39" i="16"/>
  <c r="R39" i="16"/>
  <c r="S39" i="16"/>
  <c r="T39" i="16"/>
  <c r="V39" i="16"/>
  <c r="W39" i="16"/>
  <c r="B39" i="16"/>
  <c r="B38" i="16" a="1"/>
  <c r="B38" i="16" s="1"/>
  <c r="Y38" i="16" l="1"/>
  <c r="Q38" i="16"/>
  <c r="I38" i="16"/>
  <c r="X38" i="16"/>
  <c r="P38" i="16"/>
  <c r="H38" i="16"/>
  <c r="AE38" i="16"/>
  <c r="W38" i="16"/>
  <c r="O38" i="16"/>
  <c r="G38" i="16"/>
  <c r="AD38" i="16"/>
  <c r="V38" i="16"/>
  <c r="N38" i="16"/>
  <c r="F38" i="16"/>
  <c r="AC38" i="16"/>
  <c r="U38" i="16"/>
  <c r="M38" i="16"/>
  <c r="E38" i="16"/>
  <c r="AB38" i="16"/>
  <c r="T38" i="16"/>
  <c r="L38" i="16"/>
  <c r="D38" i="16"/>
  <c r="AA38" i="16"/>
  <c r="S38" i="16"/>
  <c r="K38" i="16"/>
  <c r="C38" i="16"/>
  <c r="Z38" i="16"/>
  <c r="R38" i="16"/>
  <c r="J38" i="16"/>
  <c r="G38" i="12"/>
  <c r="H38" i="12"/>
  <c r="C38" i="15"/>
  <c r="AA38" i="12" l="1"/>
  <c r="AA39" i="12"/>
  <c r="AA40" i="12"/>
  <c r="AA41" i="12"/>
  <c r="AA42" i="12"/>
  <c r="AA43" i="12"/>
  <c r="AA44" i="12"/>
  <c r="AA45" i="12"/>
  <c r="AA46" i="12"/>
  <c r="AA47" i="12"/>
  <c r="AA48" i="12"/>
  <c r="AA49" i="12"/>
  <c r="AA50" i="12"/>
  <c r="AA51" i="12"/>
  <c r="AA52" i="12"/>
  <c r="AA53" i="12"/>
  <c r="T38" i="15"/>
  <c r="T39" i="15" s="1"/>
  <c r="U38" i="15"/>
  <c r="U39" i="15" s="1"/>
  <c r="U38" i="12" l="1"/>
  <c r="V38" i="12"/>
  <c r="W38" i="12"/>
  <c r="X38" i="12"/>
  <c r="Y38" i="12"/>
  <c r="Z38" i="12"/>
  <c r="U39" i="12"/>
  <c r="V39" i="12"/>
  <c r="W39" i="12"/>
  <c r="X39" i="12"/>
  <c r="Y39" i="12"/>
  <c r="Z39" i="12"/>
  <c r="U40" i="12"/>
  <c r="V40" i="12"/>
  <c r="W40" i="12"/>
  <c r="X40" i="12"/>
  <c r="Y40" i="12"/>
  <c r="Z40" i="12"/>
  <c r="U41" i="12"/>
  <c r="V41" i="12"/>
  <c r="W41" i="12"/>
  <c r="X41" i="12"/>
  <c r="Y41" i="12"/>
  <c r="Z41" i="12"/>
  <c r="U42" i="12"/>
  <c r="V42" i="12"/>
  <c r="W42" i="12"/>
  <c r="X42" i="12"/>
  <c r="Y42" i="12"/>
  <c r="Z42" i="12"/>
  <c r="U43" i="12"/>
  <c r="V43" i="12"/>
  <c r="W43" i="12"/>
  <c r="X43" i="12"/>
  <c r="Y43" i="12"/>
  <c r="Z43" i="12"/>
  <c r="U44" i="12"/>
  <c r="V44" i="12"/>
  <c r="W44" i="12"/>
  <c r="X44" i="12"/>
  <c r="Y44" i="12"/>
  <c r="Z44" i="12"/>
  <c r="U45" i="12"/>
  <c r="V45" i="12"/>
  <c r="W45" i="12"/>
  <c r="X45" i="12"/>
  <c r="Y45" i="12"/>
  <c r="Z45" i="12"/>
  <c r="U46" i="12"/>
  <c r="V46" i="12"/>
  <c r="W46" i="12"/>
  <c r="X46" i="12"/>
  <c r="Y46" i="12"/>
  <c r="Z46" i="12"/>
  <c r="U47" i="12"/>
  <c r="V47" i="12"/>
  <c r="W47" i="12"/>
  <c r="X47" i="12"/>
  <c r="Y47" i="12"/>
  <c r="Z47" i="12"/>
  <c r="U48" i="12"/>
  <c r="V48" i="12"/>
  <c r="W48" i="12"/>
  <c r="X48" i="12"/>
  <c r="Y48" i="12"/>
  <c r="Z48" i="12"/>
  <c r="U49" i="12"/>
  <c r="V49" i="12"/>
  <c r="W49" i="12"/>
  <c r="X49" i="12"/>
  <c r="Y49" i="12"/>
  <c r="Z49" i="12"/>
  <c r="U50" i="12"/>
  <c r="V50" i="12"/>
  <c r="W50" i="12"/>
  <c r="X50" i="12"/>
  <c r="Y50" i="12"/>
  <c r="Z50" i="12"/>
  <c r="U51" i="12"/>
  <c r="V51" i="12"/>
  <c r="W51" i="12"/>
  <c r="X51" i="12"/>
  <c r="Y51" i="12"/>
  <c r="Z51" i="12"/>
  <c r="U52" i="12"/>
  <c r="V52" i="12"/>
  <c r="W52" i="12"/>
  <c r="X52" i="12"/>
  <c r="Y52" i="12"/>
  <c r="Z52" i="12"/>
  <c r="U53" i="12"/>
  <c r="V53" i="12"/>
  <c r="W53" i="12"/>
  <c r="X53" i="12"/>
  <c r="Y53" i="12"/>
  <c r="Z53" i="12"/>
  <c r="O38" i="15"/>
  <c r="O39" i="15" s="1"/>
  <c r="P38" i="15"/>
  <c r="P39" i="15" s="1"/>
  <c r="Q38" i="15"/>
  <c r="Q39" i="15" s="1"/>
  <c r="R38" i="15"/>
  <c r="R39" i="15" s="1"/>
  <c r="S38" i="15"/>
  <c r="S39" i="15" s="1"/>
  <c r="D38" i="15" l="1"/>
  <c r="E38" i="15"/>
  <c r="F38" i="15"/>
  <c r="G38" i="15"/>
  <c r="H38" i="15"/>
  <c r="I38" i="15"/>
  <c r="J38" i="15"/>
  <c r="K38" i="15"/>
  <c r="L38" i="15"/>
  <c r="M38" i="15"/>
  <c r="N38" i="15"/>
  <c r="B38" i="15"/>
  <c r="G49" i="12" l="1"/>
  <c r="G50" i="12"/>
  <c r="G51" i="12"/>
  <c r="G52" i="12"/>
  <c r="G48" i="12"/>
  <c r="G39" i="12"/>
  <c r="G40" i="12"/>
  <c r="G41" i="12"/>
  <c r="G42" i="12"/>
  <c r="G43" i="12"/>
  <c r="G44" i="12"/>
  <c r="G45" i="12"/>
  <c r="G46" i="12"/>
  <c r="G47" i="12"/>
  <c r="AA54" i="12" l="1"/>
  <c r="Z54" i="12"/>
  <c r="V54" i="12"/>
  <c r="Y54" i="12"/>
  <c r="U54" i="12"/>
  <c r="X54" i="12"/>
  <c r="W54" i="12"/>
  <c r="G54" i="12"/>
  <c r="AL53" i="12" l="1"/>
  <c r="AK53" i="12"/>
  <c r="AJ53" i="12"/>
  <c r="AI53" i="12"/>
  <c r="AH53" i="12"/>
  <c r="AG53" i="12"/>
  <c r="AF53" i="12"/>
  <c r="AE53" i="12"/>
  <c r="AD53" i="12"/>
  <c r="AC53" i="12"/>
  <c r="AB53" i="12"/>
  <c r="T53" i="12"/>
  <c r="S53" i="12"/>
  <c r="R53" i="12"/>
  <c r="Q53" i="12"/>
  <c r="P53" i="12"/>
  <c r="O53" i="12"/>
  <c r="N53" i="12"/>
  <c r="M53" i="12"/>
  <c r="L53" i="12"/>
  <c r="K53" i="12"/>
  <c r="J53" i="12"/>
  <c r="I53" i="12"/>
  <c r="H53" i="12"/>
  <c r="AL52" i="12"/>
  <c r="AK52" i="12"/>
  <c r="AJ52" i="12"/>
  <c r="AI52" i="12"/>
  <c r="AH52" i="12"/>
  <c r="AG52" i="12"/>
  <c r="AF52" i="12"/>
  <c r="AE52" i="12"/>
  <c r="AD52" i="12"/>
  <c r="AC52" i="12"/>
  <c r="AB52" i="12"/>
  <c r="T52" i="12"/>
  <c r="S52" i="12"/>
  <c r="R52" i="12"/>
  <c r="Q52" i="12"/>
  <c r="P52" i="12"/>
  <c r="O52" i="12"/>
  <c r="N52" i="12"/>
  <c r="M52" i="12"/>
  <c r="L52" i="12"/>
  <c r="K52" i="12"/>
  <c r="J52" i="12"/>
  <c r="I52" i="12"/>
  <c r="H52" i="12"/>
  <c r="AL51" i="12"/>
  <c r="AK51" i="12"/>
  <c r="AJ51" i="12"/>
  <c r="AI51" i="12"/>
  <c r="AH51" i="12"/>
  <c r="AG51" i="12"/>
  <c r="AF51" i="12"/>
  <c r="AE51" i="12"/>
  <c r="AD51" i="12"/>
  <c r="AC51" i="12"/>
  <c r="AB51" i="12"/>
  <c r="T51" i="12"/>
  <c r="S51" i="12"/>
  <c r="R51" i="12"/>
  <c r="Q51" i="12"/>
  <c r="P51" i="12"/>
  <c r="O51" i="12"/>
  <c r="N51" i="12"/>
  <c r="M51" i="12"/>
  <c r="L51" i="12"/>
  <c r="K51" i="12"/>
  <c r="J51" i="12"/>
  <c r="I51" i="12"/>
  <c r="H51" i="12"/>
  <c r="AL50" i="12"/>
  <c r="AK50" i="12"/>
  <c r="AJ50" i="12"/>
  <c r="AI50" i="12"/>
  <c r="AH50" i="12"/>
  <c r="AG50" i="12"/>
  <c r="AF50" i="12"/>
  <c r="AE50" i="12"/>
  <c r="AD50" i="12"/>
  <c r="AC50" i="12"/>
  <c r="AB50" i="12"/>
  <c r="T50" i="12"/>
  <c r="S50" i="12"/>
  <c r="R50" i="12"/>
  <c r="Q50" i="12"/>
  <c r="P50" i="12"/>
  <c r="O50" i="12"/>
  <c r="N50" i="12"/>
  <c r="M50" i="12"/>
  <c r="L50" i="12"/>
  <c r="K50" i="12"/>
  <c r="J50" i="12"/>
  <c r="I50" i="12"/>
  <c r="H50" i="12"/>
  <c r="AL49" i="12"/>
  <c r="AK49" i="12"/>
  <c r="AJ49" i="12"/>
  <c r="AI49" i="12"/>
  <c r="AH49" i="12"/>
  <c r="AG49" i="12"/>
  <c r="AF49" i="12"/>
  <c r="AE49" i="12"/>
  <c r="AD49" i="12"/>
  <c r="AC49" i="12"/>
  <c r="AB49" i="12"/>
  <c r="T49" i="12"/>
  <c r="S49" i="12"/>
  <c r="R49" i="12"/>
  <c r="Q49" i="12"/>
  <c r="P49" i="12"/>
  <c r="O49" i="12"/>
  <c r="N49" i="12"/>
  <c r="M49" i="12"/>
  <c r="L49" i="12"/>
  <c r="K49" i="12"/>
  <c r="J49" i="12"/>
  <c r="I49" i="12"/>
  <c r="H49" i="12"/>
  <c r="AL48" i="12"/>
  <c r="AK48" i="12"/>
  <c r="AJ48" i="12"/>
  <c r="AI48" i="12"/>
  <c r="AH48" i="12"/>
  <c r="AG48" i="12"/>
  <c r="AF48" i="12"/>
  <c r="AE48" i="12"/>
  <c r="AD48" i="12"/>
  <c r="AC48" i="12"/>
  <c r="AB48" i="12"/>
  <c r="T48" i="12"/>
  <c r="S48" i="12"/>
  <c r="R48" i="12"/>
  <c r="Q48" i="12"/>
  <c r="P48" i="12"/>
  <c r="O48" i="12"/>
  <c r="N48" i="12"/>
  <c r="M48" i="12"/>
  <c r="L48" i="12"/>
  <c r="K48" i="12"/>
  <c r="J48" i="12"/>
  <c r="I48" i="12"/>
  <c r="H48" i="12"/>
  <c r="AL47" i="12"/>
  <c r="AK47" i="12"/>
  <c r="AJ47" i="12"/>
  <c r="AI47" i="12"/>
  <c r="AH47" i="12"/>
  <c r="AG47" i="12"/>
  <c r="AF47" i="12"/>
  <c r="AE47" i="12"/>
  <c r="AD47" i="12"/>
  <c r="AC47" i="12"/>
  <c r="AB47" i="12"/>
  <c r="T47" i="12"/>
  <c r="S47" i="12"/>
  <c r="R47" i="12"/>
  <c r="Q47" i="12"/>
  <c r="P47" i="12"/>
  <c r="O47" i="12"/>
  <c r="N47" i="12"/>
  <c r="M47" i="12"/>
  <c r="L47" i="12"/>
  <c r="K47" i="12"/>
  <c r="J47" i="12"/>
  <c r="I47" i="12"/>
  <c r="H47" i="12"/>
  <c r="AL46" i="12"/>
  <c r="AK46" i="12"/>
  <c r="AJ46" i="12"/>
  <c r="AI46" i="12"/>
  <c r="AH46" i="12"/>
  <c r="AG46" i="12"/>
  <c r="AF46" i="12"/>
  <c r="AE46" i="12"/>
  <c r="AD46" i="12"/>
  <c r="AC46" i="12"/>
  <c r="AB46" i="12"/>
  <c r="T46" i="12"/>
  <c r="S46" i="12"/>
  <c r="R46" i="12"/>
  <c r="Q46" i="12"/>
  <c r="P46" i="12"/>
  <c r="O46" i="12"/>
  <c r="N46" i="12"/>
  <c r="M46" i="12"/>
  <c r="L46" i="12"/>
  <c r="K46" i="12"/>
  <c r="J46" i="12"/>
  <c r="I46" i="12"/>
  <c r="H46" i="12"/>
  <c r="AL45" i="12"/>
  <c r="AK45" i="12"/>
  <c r="AJ45" i="12"/>
  <c r="AI45" i="12"/>
  <c r="AH45" i="12"/>
  <c r="AG45" i="12"/>
  <c r="AF45" i="12"/>
  <c r="AE45" i="12"/>
  <c r="AD45" i="12"/>
  <c r="AC45" i="12"/>
  <c r="AB45" i="12"/>
  <c r="T45" i="12"/>
  <c r="S45" i="12"/>
  <c r="R45" i="12"/>
  <c r="Q45" i="12"/>
  <c r="P45" i="12"/>
  <c r="O45" i="12"/>
  <c r="N45" i="12"/>
  <c r="M45" i="12"/>
  <c r="L45" i="12"/>
  <c r="K45" i="12"/>
  <c r="J45" i="12"/>
  <c r="I45" i="12"/>
  <c r="H45" i="12"/>
  <c r="AL44" i="12"/>
  <c r="AK44" i="12"/>
  <c r="AJ44" i="12"/>
  <c r="AI44" i="12"/>
  <c r="AH44" i="12"/>
  <c r="AG44" i="12"/>
  <c r="AF44" i="12"/>
  <c r="AE44" i="12"/>
  <c r="AD44" i="12"/>
  <c r="AC44" i="12"/>
  <c r="AB44" i="12"/>
  <c r="T44" i="12"/>
  <c r="S44" i="12"/>
  <c r="R44" i="12"/>
  <c r="Q44" i="12"/>
  <c r="P44" i="12"/>
  <c r="O44" i="12"/>
  <c r="N44" i="12"/>
  <c r="M44" i="12"/>
  <c r="L44" i="12"/>
  <c r="K44" i="12"/>
  <c r="J44" i="12"/>
  <c r="I44" i="12"/>
  <c r="H44" i="12"/>
  <c r="AL43" i="12"/>
  <c r="AK43" i="12"/>
  <c r="AJ43" i="12"/>
  <c r="AI43" i="12"/>
  <c r="AH43" i="12"/>
  <c r="AG43" i="12"/>
  <c r="AF43" i="12"/>
  <c r="AE43" i="12"/>
  <c r="AD43" i="12"/>
  <c r="AC43" i="12"/>
  <c r="AB43" i="12"/>
  <c r="T43" i="12"/>
  <c r="S43" i="12"/>
  <c r="R43" i="12"/>
  <c r="Q43" i="12"/>
  <c r="P43" i="12"/>
  <c r="O43" i="12"/>
  <c r="N43" i="12"/>
  <c r="M43" i="12"/>
  <c r="L43" i="12"/>
  <c r="K43" i="12"/>
  <c r="J43" i="12"/>
  <c r="I43" i="12"/>
  <c r="H43" i="12"/>
  <c r="AL42" i="12"/>
  <c r="AK42" i="12"/>
  <c r="AJ42" i="12"/>
  <c r="AI42" i="12"/>
  <c r="AH42" i="12"/>
  <c r="AG42" i="12"/>
  <c r="AF42" i="12"/>
  <c r="AE42" i="12"/>
  <c r="AD42" i="12"/>
  <c r="AC42" i="12"/>
  <c r="AB42" i="12"/>
  <c r="T42" i="12"/>
  <c r="S42" i="12"/>
  <c r="R42" i="12"/>
  <c r="Q42" i="12"/>
  <c r="P42" i="12"/>
  <c r="O42" i="12"/>
  <c r="N42" i="12"/>
  <c r="M42" i="12"/>
  <c r="L42" i="12"/>
  <c r="K42" i="12"/>
  <c r="J42" i="12"/>
  <c r="I42" i="12"/>
  <c r="H42" i="12"/>
  <c r="AL41" i="12"/>
  <c r="AK41" i="12"/>
  <c r="AJ41" i="12"/>
  <c r="AI41" i="12"/>
  <c r="AH41" i="12"/>
  <c r="AG41" i="12"/>
  <c r="AF41" i="12"/>
  <c r="AE41" i="12"/>
  <c r="AD41" i="12"/>
  <c r="AC41" i="12"/>
  <c r="AB41" i="12"/>
  <c r="T41" i="12"/>
  <c r="S41" i="12"/>
  <c r="R41" i="12"/>
  <c r="Q41" i="12"/>
  <c r="P41" i="12"/>
  <c r="O41" i="12"/>
  <c r="N41" i="12"/>
  <c r="M41" i="12"/>
  <c r="L41" i="12"/>
  <c r="K41" i="12"/>
  <c r="J41" i="12"/>
  <c r="I41" i="12"/>
  <c r="H41" i="12"/>
  <c r="AL40" i="12"/>
  <c r="AK40" i="12"/>
  <c r="AJ40" i="12"/>
  <c r="AI40" i="12"/>
  <c r="AH40" i="12"/>
  <c r="AG40" i="12"/>
  <c r="AF40" i="12"/>
  <c r="AE40" i="12"/>
  <c r="AD40" i="12"/>
  <c r="AC40" i="12"/>
  <c r="AB40" i="12"/>
  <c r="T40" i="12"/>
  <c r="S40" i="12"/>
  <c r="R40" i="12"/>
  <c r="Q40" i="12"/>
  <c r="P40" i="12"/>
  <c r="O40" i="12"/>
  <c r="N40" i="12"/>
  <c r="M40" i="12"/>
  <c r="L40" i="12"/>
  <c r="K40" i="12"/>
  <c r="J40" i="12"/>
  <c r="I40" i="12"/>
  <c r="H40" i="12"/>
  <c r="AL39" i="12"/>
  <c r="AK39" i="12"/>
  <c r="AJ39" i="12"/>
  <c r="AI39" i="12"/>
  <c r="AH39" i="12"/>
  <c r="AG39" i="12"/>
  <c r="AF39" i="12"/>
  <c r="AE39" i="12"/>
  <c r="AD39" i="12"/>
  <c r="AC39" i="12"/>
  <c r="AB39" i="12"/>
  <c r="T39" i="12"/>
  <c r="S39" i="12"/>
  <c r="R39" i="12"/>
  <c r="Q39" i="12"/>
  <c r="P39" i="12"/>
  <c r="O39" i="12"/>
  <c r="N39" i="12"/>
  <c r="M39" i="12"/>
  <c r="L39" i="12"/>
  <c r="K39" i="12"/>
  <c r="J39" i="12"/>
  <c r="I39" i="12"/>
  <c r="H39" i="12"/>
  <c r="AL38" i="12"/>
  <c r="AK38" i="12"/>
  <c r="AJ38" i="12"/>
  <c r="AI38" i="12"/>
  <c r="AH38" i="12"/>
  <c r="AG38" i="12"/>
  <c r="AF38" i="12"/>
  <c r="AE38" i="12"/>
  <c r="AD38" i="12"/>
  <c r="AC38" i="12"/>
  <c r="AB38" i="12"/>
  <c r="T38" i="12"/>
  <c r="S38" i="12"/>
  <c r="R38" i="12"/>
  <c r="Q38" i="12"/>
  <c r="P38" i="12"/>
  <c r="O38" i="12"/>
  <c r="N38" i="12"/>
  <c r="M38" i="12"/>
  <c r="L38" i="12"/>
  <c r="K38" i="12"/>
  <c r="J38" i="12"/>
  <c r="I38" i="12"/>
  <c r="X26" i="15" l="1"/>
  <c r="L39" i="15"/>
  <c r="X27" i="15"/>
  <c r="I39" i="15"/>
  <c r="N39" i="15"/>
  <c r="F39" i="15"/>
  <c r="G39" i="15"/>
  <c r="H39" i="15"/>
  <c r="J39" i="15"/>
  <c r="K39" i="15"/>
  <c r="M39" i="15"/>
  <c r="B42" i="3" a="1"/>
  <c r="AE42" i="3" s="1"/>
  <c r="B41" i="3" a="1"/>
  <c r="AE41" i="3" s="1"/>
  <c r="B40" i="3" a="1"/>
  <c r="AE40" i="3" s="1"/>
  <c r="B39" i="3" a="1"/>
  <c r="C39" i="3" s="1"/>
  <c r="B38" i="3" a="1"/>
  <c r="Q38" i="3" s="1"/>
  <c r="B37" i="16" a="1"/>
  <c r="AE37" i="16" s="1"/>
  <c r="B36" i="16" a="1"/>
  <c r="AC36" i="16" s="1"/>
  <c r="B35" i="16" a="1"/>
  <c r="B35" i="16" s="1"/>
  <c r="B35" i="17" a="1"/>
  <c r="B35" i="17" s="1"/>
  <c r="B33" i="27" a="1"/>
  <c r="AD33" i="27" s="1"/>
  <c r="B37" i="15" a="1"/>
  <c r="C37" i="15" s="1"/>
  <c r="D35" i="13" a="1"/>
  <c r="D35" i="13" s="1"/>
  <c r="Z39" i="3" l="1"/>
  <c r="AD39" i="3"/>
  <c r="P39" i="3"/>
  <c r="N39" i="3"/>
  <c r="Q39" i="3"/>
  <c r="J39" i="3"/>
  <c r="Y39" i="3"/>
  <c r="I39" i="3"/>
  <c r="X39" i="3"/>
  <c r="H39" i="3"/>
  <c r="V39" i="3"/>
  <c r="F39" i="3"/>
  <c r="R39" i="3"/>
  <c r="B39" i="3"/>
  <c r="J42" i="3"/>
  <c r="H42" i="3"/>
  <c r="P42" i="3"/>
  <c r="X42" i="3"/>
  <c r="Y42" i="3"/>
  <c r="Z42" i="3"/>
  <c r="C42" i="3"/>
  <c r="K42" i="3"/>
  <c r="S42" i="3"/>
  <c r="AA42" i="3"/>
  <c r="Q42" i="3"/>
  <c r="R42" i="3"/>
  <c r="D42" i="3"/>
  <c r="L42" i="3"/>
  <c r="T42" i="3"/>
  <c r="AB42" i="3"/>
  <c r="E42" i="3"/>
  <c r="M42" i="3"/>
  <c r="U42" i="3"/>
  <c r="AC42" i="3"/>
  <c r="B42" i="3"/>
  <c r="F42" i="3"/>
  <c r="N42" i="3"/>
  <c r="V42" i="3"/>
  <c r="AD42" i="3"/>
  <c r="I42" i="3"/>
  <c r="G42" i="3"/>
  <c r="O42" i="3"/>
  <c r="W42" i="3"/>
  <c r="H41" i="3"/>
  <c r="P41" i="3"/>
  <c r="X41" i="3"/>
  <c r="I41" i="3"/>
  <c r="R41" i="3"/>
  <c r="C41" i="3"/>
  <c r="K41" i="3"/>
  <c r="S41" i="3"/>
  <c r="AA41" i="3"/>
  <c r="Y41" i="3"/>
  <c r="Z41" i="3"/>
  <c r="D41" i="3"/>
  <c r="L41" i="3"/>
  <c r="T41" i="3"/>
  <c r="AB41" i="3"/>
  <c r="B41" i="3"/>
  <c r="E41" i="3"/>
  <c r="M41" i="3"/>
  <c r="U41" i="3"/>
  <c r="AC41" i="3"/>
  <c r="F41" i="3"/>
  <c r="N41" i="3"/>
  <c r="V41" i="3"/>
  <c r="AD41" i="3"/>
  <c r="Q41" i="3"/>
  <c r="J41" i="3"/>
  <c r="G41" i="3"/>
  <c r="O41" i="3"/>
  <c r="W41" i="3"/>
  <c r="H40" i="3"/>
  <c r="P40" i="3"/>
  <c r="X40" i="3"/>
  <c r="Y40" i="3"/>
  <c r="B40" i="3"/>
  <c r="J40" i="3"/>
  <c r="R40" i="3"/>
  <c r="Z40" i="3"/>
  <c r="Q40" i="3"/>
  <c r="C40" i="3"/>
  <c r="K40" i="3"/>
  <c r="S40" i="3"/>
  <c r="AA40" i="3"/>
  <c r="I40" i="3"/>
  <c r="D40" i="3"/>
  <c r="L40" i="3"/>
  <c r="T40" i="3"/>
  <c r="AB40" i="3"/>
  <c r="E40" i="3"/>
  <c r="M40" i="3"/>
  <c r="U40" i="3"/>
  <c r="AC40" i="3"/>
  <c r="F40" i="3"/>
  <c r="N40" i="3"/>
  <c r="V40" i="3"/>
  <c r="AD40" i="3"/>
  <c r="G40" i="3"/>
  <c r="O40" i="3"/>
  <c r="W40" i="3"/>
  <c r="AE39" i="3"/>
  <c r="W39" i="3"/>
  <c r="O39" i="3"/>
  <c r="G39" i="3"/>
  <c r="AC39" i="3"/>
  <c r="U39" i="3"/>
  <c r="M39" i="3"/>
  <c r="E39" i="3"/>
  <c r="AB39" i="3"/>
  <c r="T39" i="3"/>
  <c r="L39" i="3"/>
  <c r="D39" i="3"/>
  <c r="AA39" i="3"/>
  <c r="S39" i="3"/>
  <c r="K39" i="3"/>
  <c r="X38" i="3"/>
  <c r="P38" i="3"/>
  <c r="H38" i="3"/>
  <c r="I38" i="3"/>
  <c r="AE38" i="3"/>
  <c r="W38" i="3"/>
  <c r="O38" i="3"/>
  <c r="G38" i="3"/>
  <c r="S38" i="3"/>
  <c r="AD38" i="3"/>
  <c r="V38" i="3"/>
  <c r="F38" i="3"/>
  <c r="K38" i="3"/>
  <c r="N38" i="3"/>
  <c r="AC38" i="3"/>
  <c r="U38" i="3"/>
  <c r="M38" i="3"/>
  <c r="E38" i="3"/>
  <c r="AB38" i="3"/>
  <c r="T38" i="3"/>
  <c r="L38" i="3"/>
  <c r="D38" i="3"/>
  <c r="C38" i="3"/>
  <c r="Z38" i="3"/>
  <c r="R38" i="3"/>
  <c r="J38" i="3"/>
  <c r="B38" i="3"/>
  <c r="AA38" i="3"/>
  <c r="Y38" i="3"/>
  <c r="H36" i="16"/>
  <c r="L36" i="16"/>
  <c r="V36" i="16"/>
  <c r="X36" i="16"/>
  <c r="N36" i="16"/>
  <c r="AA36" i="16"/>
  <c r="C36" i="16"/>
  <c r="O36" i="16"/>
  <c r="AB36" i="16"/>
  <c r="D36" i="16"/>
  <c r="P36" i="16"/>
  <c r="AD36" i="16"/>
  <c r="F36" i="16"/>
  <c r="S36" i="16"/>
  <c r="AE36" i="16"/>
  <c r="G36" i="16"/>
  <c r="T36" i="16"/>
  <c r="K36" i="16"/>
  <c r="W36" i="16"/>
  <c r="H37" i="16"/>
  <c r="P37" i="16"/>
  <c r="X37" i="16"/>
  <c r="Y37" i="16"/>
  <c r="B37" i="16"/>
  <c r="J37" i="16"/>
  <c r="R37" i="16"/>
  <c r="Z37" i="16"/>
  <c r="Q37" i="16"/>
  <c r="C37" i="16"/>
  <c r="K37" i="16"/>
  <c r="S37" i="16"/>
  <c r="AA37" i="16"/>
  <c r="I37" i="16"/>
  <c r="D37" i="16"/>
  <c r="L37" i="16"/>
  <c r="T37" i="16"/>
  <c r="AB37" i="16"/>
  <c r="E37" i="16"/>
  <c r="M37" i="16"/>
  <c r="U37" i="16"/>
  <c r="AC37" i="16"/>
  <c r="F37" i="16"/>
  <c r="N37" i="16"/>
  <c r="V37" i="16"/>
  <c r="AD37" i="16"/>
  <c r="G37" i="16"/>
  <c r="O37" i="16"/>
  <c r="W37" i="16"/>
  <c r="I36" i="16"/>
  <c r="Q36" i="16"/>
  <c r="Y36" i="16"/>
  <c r="B36" i="16"/>
  <c r="J36" i="16"/>
  <c r="R36" i="16"/>
  <c r="Z36" i="16"/>
  <c r="E36" i="16"/>
  <c r="M36" i="16"/>
  <c r="U36" i="16"/>
  <c r="Q35" i="16"/>
  <c r="X35" i="16"/>
  <c r="AE35" i="16"/>
  <c r="W35" i="16"/>
  <c r="O35" i="16"/>
  <c r="G35" i="16"/>
  <c r="AD35" i="16"/>
  <c r="V35" i="16"/>
  <c r="N35" i="16"/>
  <c r="F35" i="16"/>
  <c r="Y35" i="16"/>
  <c r="H35" i="16"/>
  <c r="E35" i="16"/>
  <c r="AB35" i="16"/>
  <c r="T35" i="16"/>
  <c r="L35" i="16"/>
  <c r="D35" i="16"/>
  <c r="I35" i="16"/>
  <c r="AC35" i="16"/>
  <c r="M35" i="16"/>
  <c r="AA35" i="16"/>
  <c r="S35" i="16"/>
  <c r="K35" i="16"/>
  <c r="C35" i="16"/>
  <c r="P35" i="16"/>
  <c r="U35" i="16"/>
  <c r="Z35" i="16"/>
  <c r="R35" i="16"/>
  <c r="J35" i="16"/>
  <c r="X35" i="17"/>
  <c r="H35" i="17"/>
  <c r="AE35" i="17"/>
  <c r="W35" i="17"/>
  <c r="O35" i="17"/>
  <c r="G35" i="17"/>
  <c r="Y35" i="17"/>
  <c r="Q35" i="17"/>
  <c r="I35" i="17"/>
  <c r="P35" i="17"/>
  <c r="AD35" i="17"/>
  <c r="V35" i="17"/>
  <c r="N35" i="17"/>
  <c r="F35" i="17"/>
  <c r="U35" i="17"/>
  <c r="AB35" i="17"/>
  <c r="T35" i="17"/>
  <c r="L35" i="17"/>
  <c r="D35" i="17"/>
  <c r="M35" i="17"/>
  <c r="AA35" i="17"/>
  <c r="S35" i="17"/>
  <c r="K35" i="17"/>
  <c r="C35" i="17"/>
  <c r="AC35" i="17"/>
  <c r="E35" i="17"/>
  <c r="Z35" i="17"/>
  <c r="R35" i="17"/>
  <c r="J35" i="17"/>
  <c r="H33" i="27"/>
  <c r="O33" i="27"/>
  <c r="P33" i="27"/>
  <c r="W33" i="27"/>
  <c r="X33" i="27"/>
  <c r="AE33" i="27"/>
  <c r="G33" i="27"/>
  <c r="Y33" i="27"/>
  <c r="B33" i="27"/>
  <c r="J33" i="27"/>
  <c r="R33" i="27"/>
  <c r="Z33" i="27"/>
  <c r="Q33" i="27"/>
  <c r="C33" i="27"/>
  <c r="K33" i="27"/>
  <c r="S33" i="27"/>
  <c r="AA33" i="27"/>
  <c r="D33" i="27"/>
  <c r="L33" i="27"/>
  <c r="T33" i="27"/>
  <c r="AB33" i="27"/>
  <c r="E33" i="27"/>
  <c r="M33" i="27"/>
  <c r="U33" i="27"/>
  <c r="AC33" i="27"/>
  <c r="I33" i="27"/>
  <c r="F33" i="27"/>
  <c r="N33" i="27"/>
  <c r="V33" i="27"/>
  <c r="Z37" i="15"/>
  <c r="J37" i="15"/>
  <c r="Q37" i="15"/>
  <c r="R37" i="15"/>
  <c r="B37" i="15"/>
  <c r="Y37" i="15"/>
  <c r="I37" i="15"/>
  <c r="AF37" i="15"/>
  <c r="P37" i="15"/>
  <c r="W37" i="15"/>
  <c r="G37" i="15"/>
  <c r="V37" i="15"/>
  <c r="F37" i="15"/>
  <c r="U37" i="15"/>
  <c r="E37" i="15"/>
  <c r="AB37" i="15"/>
  <c r="T37" i="15"/>
  <c r="L37" i="15"/>
  <c r="D37" i="15"/>
  <c r="X37" i="15"/>
  <c r="H37" i="15"/>
  <c r="AE37" i="15"/>
  <c r="O37" i="15"/>
  <c r="AD37" i="15"/>
  <c r="N37" i="15"/>
  <c r="AC37" i="15"/>
  <c r="M37" i="15"/>
  <c r="AA37" i="15"/>
  <c r="S37" i="15"/>
  <c r="K37" i="15"/>
  <c r="Y35" i="13"/>
  <c r="K35" i="13"/>
  <c r="S35" i="13"/>
  <c r="Z35" i="13"/>
  <c r="J35" i="13"/>
  <c r="I35" i="13"/>
  <c r="AF35" i="13"/>
  <c r="P35" i="13"/>
  <c r="AE35" i="13"/>
  <c r="O35" i="13"/>
  <c r="E35" i="13"/>
  <c r="AA35" i="13"/>
  <c r="R35" i="13"/>
  <c r="AG35" i="13"/>
  <c r="Q35" i="13"/>
  <c r="X35" i="13"/>
  <c r="H35" i="13"/>
  <c r="W35" i="13"/>
  <c r="G35" i="13"/>
  <c r="AD35" i="13"/>
  <c r="V35" i="13"/>
  <c r="N35" i="13"/>
  <c r="F35" i="13"/>
  <c r="AC35" i="13"/>
  <c r="U35" i="13"/>
  <c r="M35" i="13"/>
  <c r="AB35" i="13"/>
  <c r="T35" i="13"/>
  <c r="L35" i="13"/>
  <c r="C3" i="3" l="1" a="1"/>
  <c r="H37" i="12" a="1"/>
  <c r="H37" i="12" s="1"/>
  <c r="C2" i="5" a="1"/>
  <c r="C2" i="5" s="1"/>
  <c r="C3" i="3" l="1"/>
  <c r="F8" i="3"/>
  <c r="F16" i="3"/>
  <c r="F24" i="3"/>
  <c r="F32" i="3"/>
  <c r="E10" i="3"/>
  <c r="E18" i="3"/>
  <c r="E26" i="3"/>
  <c r="E4" i="3"/>
  <c r="E12" i="3"/>
  <c r="E20" i="3"/>
  <c r="E28" i="3"/>
  <c r="F4" i="3"/>
  <c r="F12" i="3"/>
  <c r="F20" i="3"/>
  <c r="F28" i="3"/>
  <c r="E6" i="3"/>
  <c r="E14" i="3"/>
  <c r="E22" i="3"/>
  <c r="E30" i="3"/>
  <c r="F6" i="3"/>
  <c r="F14" i="3"/>
  <c r="F22" i="3"/>
  <c r="F30" i="3"/>
  <c r="F18" i="3"/>
  <c r="E24" i="3"/>
  <c r="F26" i="3"/>
  <c r="E8" i="3"/>
  <c r="E16" i="3"/>
  <c r="E32" i="3"/>
  <c r="F10" i="3"/>
  <c r="D30" i="3"/>
  <c r="D14" i="3"/>
  <c r="C28" i="3"/>
  <c r="C12" i="3"/>
  <c r="F25" i="3"/>
  <c r="F9" i="3"/>
  <c r="E23" i="3"/>
  <c r="E7" i="3"/>
  <c r="D21" i="3"/>
  <c r="D5" i="3"/>
  <c r="C19" i="3"/>
  <c r="D28" i="3"/>
  <c r="D12" i="3"/>
  <c r="C26" i="3"/>
  <c r="C10" i="3"/>
  <c r="F23" i="3"/>
  <c r="F7" i="3"/>
  <c r="E21" i="3"/>
  <c r="E5" i="3"/>
  <c r="D19" i="3"/>
  <c r="D3" i="3"/>
  <c r="C17" i="3"/>
  <c r="D26" i="3"/>
  <c r="D10" i="3"/>
  <c r="C24" i="3"/>
  <c r="C8" i="3"/>
  <c r="F21" i="3"/>
  <c r="F5" i="3"/>
  <c r="E19" i="3"/>
  <c r="E3" i="3"/>
  <c r="D17" i="3"/>
  <c r="C31" i="3"/>
  <c r="C15" i="3"/>
  <c r="D24" i="3"/>
  <c r="D8" i="3"/>
  <c r="C22" i="3"/>
  <c r="C6" i="3"/>
  <c r="F19" i="3"/>
  <c r="F3" i="3"/>
  <c r="E17" i="3"/>
  <c r="D31" i="3"/>
  <c r="D15" i="3"/>
  <c r="C29" i="3"/>
  <c r="C13" i="3"/>
  <c r="D20" i="3"/>
  <c r="C18" i="3"/>
  <c r="F15" i="3"/>
  <c r="E13" i="3"/>
  <c r="D11" i="3"/>
  <c r="C9" i="3"/>
  <c r="D18" i="3"/>
  <c r="C16" i="3"/>
  <c r="F13" i="3"/>
  <c r="E11" i="3"/>
  <c r="D9" i="3"/>
  <c r="C7" i="3"/>
  <c r="C21" i="3"/>
  <c r="D22" i="3"/>
  <c r="D6" i="3"/>
  <c r="C20" i="3"/>
  <c r="C4" i="3"/>
  <c r="F17" i="3"/>
  <c r="E31" i="3"/>
  <c r="E15" i="3"/>
  <c r="D29" i="3"/>
  <c r="D13" i="3"/>
  <c r="C27" i="3"/>
  <c r="C11" i="3"/>
  <c r="D4" i="3"/>
  <c r="F31" i="3"/>
  <c r="E29" i="3"/>
  <c r="D27" i="3"/>
  <c r="C25" i="3"/>
  <c r="C32" i="3"/>
  <c r="F29" i="3"/>
  <c r="E27" i="3"/>
  <c r="D25" i="3"/>
  <c r="C23" i="3"/>
  <c r="C5" i="3"/>
  <c r="D32" i="3"/>
  <c r="D16" i="3"/>
  <c r="C30" i="3"/>
  <c r="C14" i="3"/>
  <c r="F27" i="3"/>
  <c r="F11" i="3"/>
  <c r="E25" i="3"/>
  <c r="E9" i="3"/>
  <c r="D23" i="3"/>
  <c r="D7" i="3"/>
  <c r="AE37" i="12"/>
  <c r="O37" i="12"/>
  <c r="N37" i="12"/>
  <c r="AK37" i="12"/>
  <c r="M37" i="12"/>
  <c r="AJ37" i="12"/>
  <c r="AB37" i="12"/>
  <c r="T37" i="12"/>
  <c r="L37" i="12"/>
  <c r="AI37" i="12"/>
  <c r="AA37" i="12"/>
  <c r="S37" i="12"/>
  <c r="K37" i="12"/>
  <c r="W37" i="12"/>
  <c r="AL37" i="12"/>
  <c r="V37" i="12"/>
  <c r="AC37" i="12"/>
  <c r="Z37" i="12"/>
  <c r="J37" i="12"/>
  <c r="AG37" i="12"/>
  <c r="Y37" i="12"/>
  <c r="Q37" i="12"/>
  <c r="I37" i="12"/>
  <c r="AD37" i="12"/>
  <c r="U37" i="12"/>
  <c r="AH37" i="12"/>
  <c r="R37" i="12"/>
  <c r="AF37" i="12"/>
  <c r="X37" i="12"/>
  <c r="P37" i="12"/>
  <c r="C17" i="5"/>
  <c r="D17" i="5" s="1"/>
  <c r="AG21" i="6" s="1"/>
  <c r="C8" i="5"/>
  <c r="D8" i="5" s="1"/>
  <c r="AG12" i="6" s="1"/>
  <c r="C6" i="5"/>
  <c r="D6" i="5" s="1"/>
  <c r="AG10" i="6" s="1"/>
  <c r="C29" i="5"/>
  <c r="D29" i="5" s="1"/>
  <c r="C21" i="5"/>
  <c r="D21" i="5" s="1"/>
  <c r="C13" i="5"/>
  <c r="D13" i="5" s="1"/>
  <c r="AG17" i="6" s="1"/>
  <c r="C5" i="5"/>
  <c r="D5" i="5" s="1"/>
  <c r="AG9" i="6" s="1"/>
  <c r="C25" i="5"/>
  <c r="D25" i="5" s="1"/>
  <c r="C16" i="5"/>
  <c r="D16" i="5" s="1"/>
  <c r="AG20" i="6" s="1"/>
  <c r="C31" i="5"/>
  <c r="D31" i="5" s="1"/>
  <c r="C7" i="5"/>
  <c r="D7" i="5" s="1"/>
  <c r="AG11" i="6" s="1"/>
  <c r="C30" i="5"/>
  <c r="D30" i="5" s="1"/>
  <c r="C28" i="5"/>
  <c r="D28" i="5" s="1"/>
  <c r="C20" i="5"/>
  <c r="D20" i="5" s="1"/>
  <c r="AG24" i="6" s="1"/>
  <c r="C12" i="5"/>
  <c r="D12" i="5" s="1"/>
  <c r="AG16" i="6" s="1"/>
  <c r="C4" i="5"/>
  <c r="D4" i="5" s="1"/>
  <c r="AG8" i="6" s="1"/>
  <c r="C15" i="5"/>
  <c r="D15" i="5" s="1"/>
  <c r="AG19" i="6" s="1"/>
  <c r="C22" i="5"/>
  <c r="D22" i="5" s="1"/>
  <c r="C27" i="5"/>
  <c r="D27" i="5" s="1"/>
  <c r="C19" i="5"/>
  <c r="D19" i="5" s="1"/>
  <c r="C11" i="5"/>
  <c r="D11" i="5" s="1"/>
  <c r="AG15" i="6" s="1"/>
  <c r="C3" i="5"/>
  <c r="D3" i="5" s="1"/>
  <c r="AG7" i="6" s="1"/>
  <c r="C9" i="5"/>
  <c r="D9" i="5" s="1"/>
  <c r="AG13" i="6" s="1"/>
  <c r="C24" i="5"/>
  <c r="D24" i="5" s="1"/>
  <c r="C23" i="5"/>
  <c r="D23" i="5" s="1"/>
  <c r="C14" i="5"/>
  <c r="D14" i="5" s="1"/>
  <c r="AG18" i="6" s="1"/>
  <c r="C26" i="5"/>
  <c r="D26" i="5" s="1"/>
  <c r="C18" i="5"/>
  <c r="D18" i="5" s="1"/>
  <c r="AG22" i="6" s="1"/>
  <c r="C10" i="5"/>
  <c r="D10" i="5" s="1"/>
  <c r="AG14" i="6" s="1"/>
  <c r="AE25" i="6" l="1"/>
  <c r="AG25" i="6"/>
  <c r="AB25" i="6"/>
  <c r="AD25" i="6"/>
  <c r="AC25" i="6"/>
  <c r="AB24" i="6"/>
  <c r="AC14" i="6"/>
  <c r="AB18" i="6"/>
  <c r="AD18" i="6"/>
  <c r="AB10" i="6"/>
  <c r="AD16" i="6"/>
  <c r="AD20" i="6"/>
  <c r="AC13" i="6"/>
  <c r="AD10" i="6"/>
  <c r="AE13" i="6"/>
  <c r="AD21" i="6"/>
  <c r="AD12" i="6"/>
  <c r="AB8" i="6"/>
  <c r="AC12" i="6"/>
  <c r="AE18" i="6"/>
  <c r="AC20" i="6"/>
  <c r="AB13" i="6"/>
  <c r="AE17" i="6"/>
  <c r="AE15" i="6"/>
  <c r="AD13" i="6"/>
  <c r="AE20" i="6"/>
  <c r="AD14" i="6"/>
  <c r="AB21" i="6"/>
  <c r="AE22" i="6"/>
  <c r="AB20" i="6"/>
  <c r="AE12" i="6"/>
  <c r="AD19" i="6"/>
  <c r="AE9" i="6"/>
  <c r="AE7" i="6"/>
  <c r="AE14" i="6"/>
  <c r="AC7" i="6"/>
  <c r="AB7" i="6"/>
  <c r="AE16" i="6"/>
  <c r="AB9" i="6"/>
  <c r="AD22" i="6"/>
  <c r="AC15" i="6"/>
  <c r="AD11" i="6"/>
  <c r="AB14" i="6"/>
  <c r="AB19" i="6"/>
  <c r="AB16" i="6"/>
  <c r="AE8" i="6"/>
  <c r="AC22" i="6"/>
  <c r="AB15" i="6"/>
  <c r="AE19" i="6"/>
  <c r="AC10" i="6"/>
  <c r="AC24" i="6"/>
  <c r="AB17" i="6"/>
  <c r="AC9" i="6"/>
  <c r="AC21" i="6"/>
  <c r="AC11" i="6"/>
  <c r="AE24" i="6"/>
  <c r="AD8" i="6"/>
  <c r="AB22" i="6"/>
  <c r="AD17" i="6"/>
  <c r="AD15" i="6"/>
  <c r="AE11" i="6"/>
  <c r="AC19" i="6"/>
  <c r="AE10" i="6"/>
  <c r="AC16" i="6"/>
  <c r="AB12" i="6"/>
  <c r="AC18" i="6"/>
  <c r="AB11" i="6"/>
  <c r="AD24" i="6"/>
  <c r="AC8" i="6"/>
  <c r="AC17" i="6"/>
  <c r="AE21" i="6"/>
  <c r="AD9" i="6"/>
  <c r="AD7" i="6"/>
  <c r="D39" i="15"/>
  <c r="E39" i="15"/>
  <c r="B39" i="15"/>
  <c r="C39" i="15"/>
  <c r="C2" i="15" l="1" a="1"/>
  <c r="C2" i="15" l="1"/>
  <c r="AH6" i="6" s="1"/>
  <c r="C9" i="15"/>
  <c r="AH13" i="6" s="1"/>
  <c r="C15" i="15"/>
  <c r="C25" i="15"/>
  <c r="C18" i="15"/>
  <c r="C8" i="15"/>
  <c r="AH12" i="6" s="1"/>
  <c r="C30" i="15"/>
  <c r="C16" i="15"/>
  <c r="C10" i="15"/>
  <c r="AH14" i="6" s="1"/>
  <c r="C23" i="15"/>
  <c r="C29" i="15"/>
  <c r="C7" i="15"/>
  <c r="AH11" i="6" s="1"/>
  <c r="C19" i="15"/>
  <c r="C6" i="15"/>
  <c r="AH10" i="6" s="1"/>
  <c r="C4" i="15"/>
  <c r="AH8" i="6" s="1"/>
  <c r="C13" i="15"/>
  <c r="C28" i="15"/>
  <c r="C14" i="15"/>
  <c r="C17" i="15"/>
  <c r="C24" i="15"/>
  <c r="C11" i="15"/>
  <c r="C5" i="15"/>
  <c r="AH9" i="6" s="1"/>
  <c r="C27" i="15"/>
  <c r="C21" i="15"/>
  <c r="C31" i="15"/>
  <c r="C12" i="15"/>
  <c r="C22" i="15"/>
  <c r="C20" i="15"/>
  <c r="C3" i="15"/>
  <c r="AH7" i="6" s="1"/>
  <c r="C26" i="15"/>
  <c r="AH25" i="6" l="1"/>
  <c r="AH17" i="6"/>
  <c r="AH20" i="6"/>
  <c r="AH24" i="6"/>
  <c r="AH19" i="6"/>
  <c r="AH18" i="6"/>
  <c r="AH15" i="6"/>
  <c r="AH22" i="6"/>
  <c r="AH21" i="6"/>
  <c r="AH16" i="6"/>
  <c r="AN3" i="26" a="1"/>
  <c r="AN4" i="26" s="1"/>
  <c r="AM3" i="26" a="1"/>
  <c r="AM3" i="26" s="1"/>
  <c r="V14" i="6" l="1"/>
  <c r="V21" i="6"/>
  <c r="V10" i="6"/>
  <c r="V13" i="6"/>
  <c r="V19" i="6"/>
  <c r="V22" i="6"/>
  <c r="V7" i="6"/>
  <c r="V25" i="6"/>
  <c r="J25" i="6" s="1"/>
  <c r="V12" i="6"/>
  <c r="V24" i="6"/>
  <c r="V11" i="6"/>
  <c r="V16" i="6"/>
  <c r="V9" i="6"/>
  <c r="V15" i="6"/>
  <c r="V20" i="6"/>
  <c r="V18" i="6"/>
  <c r="V17" i="6"/>
  <c r="V6" i="6"/>
  <c r="V8" i="6"/>
  <c r="V27" i="6"/>
  <c r="J27" i="6" s="1"/>
  <c r="V26" i="6"/>
  <c r="J26" i="6" s="1"/>
  <c r="V28" i="6"/>
  <c r="J28" i="6" s="1"/>
  <c r="AN16" i="26"/>
  <c r="AN19" i="26"/>
  <c r="AN3" i="26"/>
  <c r="AN26" i="26"/>
  <c r="AN10" i="26"/>
  <c r="AN25" i="26"/>
  <c r="AN9" i="26"/>
  <c r="AN24" i="26"/>
  <c r="AN31" i="26"/>
  <c r="AN15" i="26"/>
  <c r="AN22" i="26"/>
  <c r="AN6" i="26"/>
  <c r="AN29" i="26"/>
  <c r="AN21" i="26"/>
  <c r="AN13" i="26"/>
  <c r="AN5" i="26"/>
  <c r="AN27" i="26"/>
  <c r="AN11" i="26"/>
  <c r="AN18" i="26"/>
  <c r="AN17" i="26"/>
  <c r="AN32" i="26"/>
  <c r="AN8" i="26"/>
  <c r="AN23" i="26"/>
  <c r="AN7" i="26"/>
  <c r="AN30" i="26"/>
  <c r="AN14" i="26"/>
  <c r="AN28" i="26"/>
  <c r="AN20" i="26"/>
  <c r="AN12" i="26"/>
  <c r="AM18" i="26"/>
  <c r="AM17" i="26"/>
  <c r="AM32" i="26"/>
  <c r="AM16" i="26"/>
  <c r="AM23" i="26"/>
  <c r="AM7" i="26"/>
  <c r="AM30" i="26"/>
  <c r="AM14" i="26"/>
  <c r="AM21" i="26"/>
  <c r="AM28" i="26"/>
  <c r="AM12" i="26"/>
  <c r="AM4" i="26"/>
  <c r="AM26" i="26"/>
  <c r="AM10" i="26"/>
  <c r="AM25" i="26"/>
  <c r="AM9" i="26"/>
  <c r="AM24" i="26"/>
  <c r="AM8" i="26"/>
  <c r="AM31" i="26"/>
  <c r="AM15" i="26"/>
  <c r="AM22" i="26"/>
  <c r="AM6" i="26"/>
  <c r="AM29" i="26"/>
  <c r="AM13" i="26"/>
  <c r="AM5" i="26"/>
  <c r="AM20" i="26"/>
  <c r="AM27" i="26"/>
  <c r="AM19" i="26"/>
  <c r="AM11" i="26"/>
  <c r="A6" i="6" l="1" a="1"/>
  <c r="A6" i="6" s="1"/>
  <c r="A16" i="6"/>
  <c r="A11" i="6"/>
  <c r="A2" i="27" a="1"/>
  <c r="A30" i="27" s="1"/>
  <c r="A2" i="15" a="1"/>
  <c r="A4" i="15" s="1"/>
  <c r="A2" i="12" a="1"/>
  <c r="A2" i="12" s="1"/>
  <c r="A2" i="17" a="1"/>
  <c r="A2" i="16" a="1"/>
  <c r="A2" i="5" a="1"/>
  <c r="B2" i="12" a="1"/>
  <c r="B2" i="5" a="1"/>
  <c r="A2" i="13" a="1"/>
  <c r="A3" i="3" a="1"/>
  <c r="A3" i="3" s="1"/>
  <c r="B3" i="3" a="1"/>
  <c r="B10" i="6" l="1"/>
  <c r="A15" i="6"/>
  <c r="B7" i="6"/>
  <c r="A9" i="6"/>
  <c r="B12" i="6"/>
  <c r="A13" i="6"/>
  <c r="B9" i="6"/>
  <c r="B14" i="6"/>
  <c r="B6" i="6"/>
  <c r="B6" i="34" s="1"/>
  <c r="A20" i="6"/>
  <c r="A26" i="6"/>
  <c r="B23" i="6"/>
  <c r="B25" i="6"/>
  <c r="B28" i="6"/>
  <c r="A24" i="6"/>
  <c r="B18" i="6"/>
  <c r="A22" i="6"/>
  <c r="B17" i="6"/>
  <c r="B22" i="6"/>
  <c r="B16" i="6"/>
  <c r="B11" i="6"/>
  <c r="A28" i="6"/>
  <c r="A10" i="6"/>
  <c r="A23" i="6"/>
  <c r="B15" i="6"/>
  <c r="B21" i="6"/>
  <c r="A17" i="6"/>
  <c r="B13" i="6"/>
  <c r="A7" i="6"/>
  <c r="A8" i="6"/>
  <c r="B26" i="6"/>
  <c r="A27" i="6"/>
  <c r="B8" i="6"/>
  <c r="A19" i="6"/>
  <c r="A25" i="6"/>
  <c r="A21" i="6"/>
  <c r="B19" i="6"/>
  <c r="A12" i="6"/>
  <c r="A14" i="6"/>
  <c r="B27" i="6"/>
  <c r="B20" i="6"/>
  <c r="B24" i="6"/>
  <c r="A18" i="6"/>
  <c r="B2" i="15"/>
  <c r="B4" i="15"/>
  <c r="B2" i="27"/>
  <c r="B8" i="15"/>
  <c r="A24" i="27"/>
  <c r="A6" i="15"/>
  <c r="A20" i="27"/>
  <c r="B7" i="15"/>
  <c r="A2" i="15"/>
  <c r="B28" i="27"/>
  <c r="B21" i="27"/>
  <c r="A4" i="27"/>
  <c r="B8" i="27"/>
  <c r="B17" i="27"/>
  <c r="B4" i="27"/>
  <c r="A11" i="27"/>
  <c r="B17" i="15"/>
  <c r="B6" i="27"/>
  <c r="A16" i="27"/>
  <c r="A13" i="27"/>
  <c r="A25" i="27"/>
  <c r="B29" i="15"/>
  <c r="A12" i="15"/>
  <c r="B16" i="27"/>
  <c r="A2" i="27"/>
  <c r="B20" i="27"/>
  <c r="A29" i="15"/>
  <c r="A29" i="12"/>
  <c r="A9" i="12"/>
  <c r="B7" i="27"/>
  <c r="B18" i="27"/>
  <c r="A12" i="27"/>
  <c r="A14" i="27"/>
  <c r="B11" i="27"/>
  <c r="A26" i="12"/>
  <c r="A4" i="12"/>
  <c r="B14" i="27"/>
  <c r="B30" i="27"/>
  <c r="A6" i="27"/>
  <c r="B31" i="27"/>
  <c r="A29" i="27"/>
  <c r="B29" i="27"/>
  <c r="B15" i="27"/>
  <c r="A5" i="12"/>
  <c r="B6" i="15"/>
  <c r="A25" i="15"/>
  <c r="A13" i="12"/>
  <c r="A6" i="12"/>
  <c r="A22" i="27"/>
  <c r="A19" i="27"/>
  <c r="A15" i="27"/>
  <c r="B25" i="27"/>
  <c r="B3" i="27"/>
  <c r="B19" i="27"/>
  <c r="A9" i="27"/>
  <c r="A28" i="27"/>
  <c r="A10" i="15"/>
  <c r="B9" i="15"/>
  <c r="A16" i="12"/>
  <c r="A15" i="12"/>
  <c r="B9" i="27"/>
  <c r="A18" i="27"/>
  <c r="A5" i="27"/>
  <c r="A17" i="27"/>
  <c r="B24" i="27"/>
  <c r="B27" i="27"/>
  <c r="A7" i="27"/>
  <c r="B10" i="15"/>
  <c r="A26" i="15"/>
  <c r="A25" i="12"/>
  <c r="A3" i="12"/>
  <c r="A21" i="27"/>
  <c r="B5" i="27"/>
  <c r="A27" i="27"/>
  <c r="A8" i="27"/>
  <c r="A31" i="27"/>
  <c r="B23" i="27"/>
  <c r="A26" i="27"/>
  <c r="A3" i="27"/>
  <c r="A30" i="12"/>
  <c r="A30" i="15"/>
  <c r="A11" i="15"/>
  <c r="A19" i="12"/>
  <c r="A18" i="12"/>
  <c r="A23" i="27"/>
  <c r="B12" i="27"/>
  <c r="A10" i="27"/>
  <c r="B10" i="27"/>
  <c r="B22" i="27"/>
  <c r="B26" i="27"/>
  <c r="B13" i="27"/>
  <c r="A2" i="16"/>
  <c r="B21" i="16"/>
  <c r="A17" i="16"/>
  <c r="B31" i="16"/>
  <c r="B28" i="16"/>
  <c r="A7" i="16"/>
  <c r="B10" i="16"/>
  <c r="A14" i="16"/>
  <c r="A19" i="16"/>
  <c r="B18" i="16"/>
  <c r="B17" i="16"/>
  <c r="A13" i="16"/>
  <c r="B27" i="16"/>
  <c r="A12" i="16"/>
  <c r="A3" i="16"/>
  <c r="B6" i="16"/>
  <c r="A10" i="16"/>
  <c r="B7" i="16"/>
  <c r="B13" i="16"/>
  <c r="A9" i="16"/>
  <c r="B23" i="16"/>
  <c r="A31" i="16"/>
  <c r="A8" i="16"/>
  <c r="B2" i="16"/>
  <c r="A6" i="16"/>
  <c r="A22" i="16"/>
  <c r="B16" i="16"/>
  <c r="B9" i="16"/>
  <c r="A5" i="16"/>
  <c r="B19" i="16"/>
  <c r="A27" i="16"/>
  <c r="B30" i="16"/>
  <c r="A16" i="16"/>
  <c r="B11" i="16"/>
  <c r="A24" i="16"/>
  <c r="B12" i="16"/>
  <c r="B5" i="16"/>
  <c r="B24" i="16"/>
  <c r="B15" i="16"/>
  <c r="A23" i="16"/>
  <c r="B26" i="16"/>
  <c r="A30" i="16"/>
  <c r="B29" i="16"/>
  <c r="B8" i="16"/>
  <c r="B20" i="16"/>
  <c r="A29" i="16"/>
  <c r="A28" i="16"/>
  <c r="B22" i="16"/>
  <c r="A26" i="16"/>
  <c r="B4" i="16"/>
  <c r="A25" i="16"/>
  <c r="A15" i="16"/>
  <c r="A4" i="16"/>
  <c r="B25" i="16"/>
  <c r="A21" i="16"/>
  <c r="A20" i="16"/>
  <c r="B3" i="16"/>
  <c r="A11" i="16"/>
  <c r="B14" i="16"/>
  <c r="A18" i="16"/>
  <c r="A2" i="17"/>
  <c r="B9" i="17"/>
  <c r="A20" i="17"/>
  <c r="B31" i="17"/>
  <c r="B25" i="17"/>
  <c r="A19" i="17"/>
  <c r="B30" i="17"/>
  <c r="B5" i="17"/>
  <c r="A10" i="17"/>
  <c r="B21" i="17"/>
  <c r="A29" i="17"/>
  <c r="A16" i="17"/>
  <c r="B27" i="17"/>
  <c r="B13" i="17"/>
  <c r="A15" i="17"/>
  <c r="B26" i="17"/>
  <c r="A21" i="17"/>
  <c r="A6" i="17"/>
  <c r="B12" i="17"/>
  <c r="A22" i="17"/>
  <c r="A9" i="17"/>
  <c r="A27" i="17"/>
  <c r="A18" i="17"/>
  <c r="A5" i="17"/>
  <c r="A12" i="17"/>
  <c r="B23" i="17"/>
  <c r="A25" i="17"/>
  <c r="A11" i="17"/>
  <c r="B22" i="17"/>
  <c r="B8" i="17"/>
  <c r="B24" i="17"/>
  <c r="B28" i="17"/>
  <c r="A8" i="17"/>
  <c r="B19" i="17"/>
  <c r="A13" i="17"/>
  <c r="A7" i="17"/>
  <c r="B18" i="17"/>
  <c r="A30" i="17"/>
  <c r="A4" i="17"/>
  <c r="A26" i="17"/>
  <c r="B10" i="17"/>
  <c r="B15" i="17"/>
  <c r="A3" i="17"/>
  <c r="B14" i="17"/>
  <c r="B6" i="17"/>
  <c r="B4" i="17"/>
  <c r="B17" i="17"/>
  <c r="B11" i="17"/>
  <c r="A31" i="17"/>
  <c r="A28" i="17"/>
  <c r="B7" i="17"/>
  <c r="B29" i="17"/>
  <c r="A24" i="17"/>
  <c r="B20" i="17"/>
  <c r="B3" i="17"/>
  <c r="A23" i="17"/>
  <c r="B16" i="17"/>
  <c r="B2" i="17"/>
  <c r="A14" i="17"/>
  <c r="A17" i="17"/>
  <c r="B16" i="15"/>
  <c r="B28" i="15"/>
  <c r="B23" i="15"/>
  <c r="B21" i="15"/>
  <c r="B25" i="15"/>
  <c r="B26" i="15"/>
  <c r="B12" i="15"/>
  <c r="B20" i="15"/>
  <c r="A13" i="15"/>
  <c r="A22" i="15"/>
  <c r="A20" i="15"/>
  <c r="B18" i="15"/>
  <c r="A16" i="15"/>
  <c r="A28" i="12"/>
  <c r="A21" i="12"/>
  <c r="A17" i="12"/>
  <c r="A20" i="12"/>
  <c r="B11" i="15"/>
  <c r="B15" i="15"/>
  <c r="B19" i="15"/>
  <c r="B22" i="15"/>
  <c r="A14" i="15"/>
  <c r="A3" i="15"/>
  <c r="B3" i="15"/>
  <c r="A22" i="12"/>
  <c r="A24" i="12"/>
  <c r="A7" i="12"/>
  <c r="A14" i="12"/>
  <c r="A23" i="15"/>
  <c r="A18" i="15"/>
  <c r="B30" i="15"/>
  <c r="B24" i="15"/>
  <c r="A5" i="15"/>
  <c r="A17" i="15"/>
  <c r="A7" i="15"/>
  <c r="B14" i="15"/>
  <c r="B13" i="15"/>
  <c r="A28" i="15"/>
  <c r="A31" i="12"/>
  <c r="A8" i="12"/>
  <c r="A10" i="12"/>
  <c r="A23" i="12"/>
  <c r="A19" i="15"/>
  <c r="A27" i="15"/>
  <c r="B27" i="15"/>
  <c r="A15" i="15"/>
  <c r="A24" i="15"/>
  <c r="A9" i="15"/>
  <c r="A21" i="15"/>
  <c r="B5" i="15"/>
  <c r="A8" i="15"/>
  <c r="A31" i="15"/>
  <c r="B31" i="15"/>
  <c r="A11" i="12"/>
  <c r="A27" i="12"/>
  <c r="A12" i="12"/>
  <c r="A31" i="3"/>
  <c r="A18" i="3"/>
  <c r="A2" i="13"/>
  <c r="A13" i="13"/>
  <c r="A24" i="13"/>
  <c r="A7" i="13"/>
  <c r="A28" i="13"/>
  <c r="B26" i="13"/>
  <c r="A21" i="13"/>
  <c r="B7" i="13"/>
  <c r="A6" i="13"/>
  <c r="B16" i="13"/>
  <c r="A3" i="13"/>
  <c r="A16" i="13"/>
  <c r="B22" i="13"/>
  <c r="A5" i="13"/>
  <c r="A31" i="13"/>
  <c r="B21" i="13"/>
  <c r="B25" i="13"/>
  <c r="A8" i="13"/>
  <c r="B28" i="13"/>
  <c r="A30" i="13"/>
  <c r="B19" i="13"/>
  <c r="B23" i="13"/>
  <c r="B12" i="13"/>
  <c r="B13" i="13"/>
  <c r="B8" i="13"/>
  <c r="B15" i="13"/>
  <c r="A12" i="13"/>
  <c r="B31" i="13"/>
  <c r="B18" i="13"/>
  <c r="B5" i="13"/>
  <c r="B9" i="13"/>
  <c r="B14" i="13"/>
  <c r="A26" i="13"/>
  <c r="B30" i="13"/>
  <c r="A10" i="13"/>
  <c r="A29" i="13"/>
  <c r="A23" i="13"/>
  <c r="A25" i="13"/>
  <c r="B11" i="13"/>
  <c r="B10" i="13"/>
  <c r="A20" i="13"/>
  <c r="A22" i="13"/>
  <c r="A17" i="13"/>
  <c r="A19" i="13"/>
  <c r="A9" i="13"/>
  <c r="B3" i="13"/>
  <c r="B6" i="13"/>
  <c r="A4" i="13"/>
  <c r="A18" i="13"/>
  <c r="B29" i="13"/>
  <c r="B24" i="13"/>
  <c r="A15" i="13"/>
  <c r="B20" i="13"/>
  <c r="A27" i="13"/>
  <c r="B2" i="13"/>
  <c r="B27" i="13"/>
  <c r="A14" i="13"/>
  <c r="B4" i="13"/>
  <c r="A11" i="13"/>
  <c r="B17" i="13"/>
  <c r="B31" i="5"/>
  <c r="B9" i="5"/>
  <c r="B27" i="5"/>
  <c r="B13" i="5"/>
  <c r="B15" i="5"/>
  <c r="B25" i="5"/>
  <c r="B16" i="5"/>
  <c r="B21" i="5"/>
  <c r="B23" i="5"/>
  <c r="B2" i="5"/>
  <c r="B17" i="5"/>
  <c r="B29" i="5"/>
  <c r="B10" i="5"/>
  <c r="B4" i="5"/>
  <c r="B6" i="5"/>
  <c r="B18" i="5"/>
  <c r="B12" i="5"/>
  <c r="B14" i="5"/>
  <c r="B26" i="5"/>
  <c r="B3" i="5"/>
  <c r="B20" i="5"/>
  <c r="B22" i="5"/>
  <c r="B8" i="5"/>
  <c r="B11" i="5"/>
  <c r="B28" i="5"/>
  <c r="B30" i="5"/>
  <c r="B24" i="5"/>
  <c r="B19" i="5"/>
  <c r="B5" i="5"/>
  <c r="B7" i="5"/>
  <c r="B31" i="12"/>
  <c r="B6" i="12"/>
  <c r="B11" i="12"/>
  <c r="B28" i="12"/>
  <c r="B22" i="12"/>
  <c r="B8" i="12"/>
  <c r="B19" i="12"/>
  <c r="B25" i="12"/>
  <c r="B30" i="12"/>
  <c r="B29" i="12"/>
  <c r="B16" i="12"/>
  <c r="B27" i="12"/>
  <c r="B18" i="12"/>
  <c r="B7" i="12"/>
  <c r="B24" i="12"/>
  <c r="B9" i="12"/>
  <c r="B5" i="12"/>
  <c r="B15" i="12"/>
  <c r="B17" i="12"/>
  <c r="B10" i="12"/>
  <c r="B13" i="12"/>
  <c r="B23" i="12"/>
  <c r="B12" i="12"/>
  <c r="B2" i="12"/>
  <c r="B4" i="12"/>
  <c r="B21" i="12"/>
  <c r="B26" i="12"/>
  <c r="B3" i="12"/>
  <c r="B20" i="12"/>
  <c r="B14" i="12"/>
  <c r="A20" i="3"/>
  <c r="A2" i="5"/>
  <c r="A22" i="5"/>
  <c r="A20" i="5"/>
  <c r="A3" i="5"/>
  <c r="A14" i="5"/>
  <c r="A12" i="5"/>
  <c r="A17" i="5"/>
  <c r="A24" i="5"/>
  <c r="A6" i="5"/>
  <c r="A4" i="5"/>
  <c r="A8" i="5"/>
  <c r="A31" i="5"/>
  <c r="A9" i="5"/>
  <c r="A25" i="5"/>
  <c r="A21" i="5"/>
  <c r="A23" i="5"/>
  <c r="A16" i="5"/>
  <c r="A13" i="5"/>
  <c r="A26" i="5"/>
  <c r="A15" i="5"/>
  <c r="A29" i="5"/>
  <c r="A27" i="5"/>
  <c r="A18" i="5"/>
  <c r="A7" i="5"/>
  <c r="A5" i="5"/>
  <c r="A19" i="5"/>
  <c r="A10" i="5"/>
  <c r="A30" i="5"/>
  <c r="A28" i="5"/>
  <c r="A11" i="5"/>
  <c r="A4" i="3"/>
  <c r="A6" i="3"/>
  <c r="A7" i="3"/>
  <c r="A8" i="3"/>
  <c r="A13" i="3"/>
  <c r="A23" i="3"/>
  <c r="A22" i="3"/>
  <c r="A26" i="3"/>
  <c r="A5" i="3"/>
  <c r="A11" i="3"/>
  <c r="A27" i="3"/>
  <c r="A24" i="3"/>
  <c r="A25" i="3"/>
  <c r="A29" i="3"/>
  <c r="A17" i="3"/>
  <c r="A12" i="3"/>
  <c r="A28" i="3"/>
  <c r="A15" i="3"/>
  <c r="A10" i="3"/>
  <c r="A14" i="3"/>
  <c r="A30" i="3"/>
  <c r="A19" i="3"/>
  <c r="A9" i="3"/>
  <c r="A16" i="3"/>
  <c r="A32" i="3"/>
  <c r="A21" i="3"/>
  <c r="B31" i="3"/>
  <c r="B24" i="3"/>
  <c r="B3" i="3"/>
  <c r="B29" i="3"/>
  <c r="B7" i="3"/>
  <c r="B16" i="3"/>
  <c r="B32" i="3"/>
  <c r="B11" i="3"/>
  <c r="B12" i="3"/>
  <c r="B15" i="3"/>
  <c r="B21" i="3"/>
  <c r="B9" i="3"/>
  <c r="B19" i="3"/>
  <c r="B6" i="3"/>
  <c r="B23" i="3"/>
  <c r="B17" i="3"/>
  <c r="B27" i="3"/>
  <c r="B14" i="3"/>
  <c r="B25" i="3"/>
  <c r="B28" i="3"/>
  <c r="B22" i="3"/>
  <c r="B10" i="3"/>
  <c r="B5" i="3"/>
  <c r="B30" i="3"/>
  <c r="B20" i="3"/>
  <c r="B8" i="3"/>
  <c r="B18" i="3"/>
  <c r="B13" i="3"/>
  <c r="B4" i="3"/>
  <c r="B26" i="3"/>
  <c r="K16" i="34" l="1"/>
  <c r="H16" i="34"/>
  <c r="H7" i="34"/>
  <c r="H9" i="34"/>
  <c r="H10" i="34"/>
  <c r="O6" i="34"/>
  <c r="H13" i="34"/>
  <c r="O8" i="34"/>
  <c r="H11" i="34"/>
  <c r="O10" i="34"/>
  <c r="O11" i="34"/>
  <c r="O12" i="34"/>
  <c r="O9" i="34"/>
  <c r="H12" i="34"/>
  <c r="O7" i="34"/>
  <c r="H8" i="34"/>
  <c r="J15" i="10" l="1"/>
  <c r="K15" i="10" s="1"/>
  <c r="O50" i="10" l="1"/>
  <c r="B71" i="13" s="1"/>
  <c r="O57" i="10"/>
  <c r="B78" i="13" s="1"/>
  <c r="O49" i="10"/>
  <c r="B70" i="13" s="1"/>
  <c r="O48" i="10"/>
  <c r="B69" i="13" s="1"/>
  <c r="O30" i="10"/>
  <c r="B51" i="13" s="1"/>
  <c r="O43" i="10"/>
  <c r="B64" i="13" s="1"/>
  <c r="O44" i="10"/>
  <c r="B65" i="13" s="1"/>
  <c r="O29" i="10"/>
  <c r="B50" i="13" s="1"/>
  <c r="AV13" i="23"/>
  <c r="AQ13" i="23"/>
  <c r="R13" i="23"/>
  <c r="S13" i="23"/>
  <c r="T13" i="23"/>
  <c r="U13" i="23"/>
  <c r="V13" i="23"/>
  <c r="W13" i="23"/>
  <c r="X13" i="23"/>
  <c r="Y13" i="23"/>
  <c r="Z13" i="23"/>
  <c r="AA13" i="23"/>
  <c r="AB13" i="23"/>
  <c r="AC13" i="23"/>
  <c r="AD13" i="23"/>
  <c r="AE13" i="23"/>
  <c r="AF13" i="23"/>
  <c r="AG13" i="23"/>
  <c r="AH13" i="23"/>
  <c r="AI13" i="23"/>
  <c r="AJ13" i="23"/>
  <c r="AK13" i="23"/>
  <c r="AL13" i="23"/>
  <c r="AM13" i="23"/>
  <c r="AN13" i="23"/>
  <c r="AO13" i="23"/>
  <c r="AP13" i="23"/>
  <c r="AR13" i="23"/>
  <c r="AS13" i="23"/>
  <c r="AT13" i="23"/>
  <c r="AU13" i="23"/>
  <c r="AW13" i="23"/>
  <c r="AX13" i="23"/>
  <c r="AY13" i="23"/>
  <c r="AZ13" i="23"/>
  <c r="BA13" i="23"/>
  <c r="BB13" i="23"/>
  <c r="BC13" i="23"/>
  <c r="BD13" i="23"/>
  <c r="BE13" i="23"/>
  <c r="BF13" i="23"/>
  <c r="BG13" i="23"/>
  <c r="BH13" i="23"/>
  <c r="BI13" i="23"/>
  <c r="BJ13" i="23"/>
  <c r="BK13" i="23"/>
  <c r="BL13" i="23"/>
  <c r="BM13" i="23"/>
  <c r="BN13" i="23"/>
  <c r="BO13" i="23"/>
  <c r="BP13" i="23"/>
  <c r="BQ13" i="23"/>
  <c r="BR13" i="23"/>
  <c r="BS13" i="23"/>
  <c r="BT13" i="23"/>
  <c r="BU13" i="23"/>
  <c r="BV13" i="23"/>
  <c r="BW13" i="23"/>
  <c r="BX13" i="23"/>
  <c r="BY13" i="23"/>
  <c r="BZ13" i="23"/>
  <c r="CA13" i="23"/>
  <c r="CB13" i="23"/>
  <c r="CC13" i="23"/>
  <c r="CD13" i="23"/>
  <c r="CE13" i="23"/>
  <c r="CF13" i="23"/>
  <c r="CG13" i="23"/>
  <c r="CH13" i="23"/>
  <c r="CI13" i="23"/>
  <c r="Q13" i="23"/>
  <c r="P13" i="23"/>
  <c r="O13" i="23"/>
  <c r="N13" i="23"/>
  <c r="M13" i="23"/>
  <c r="I13" i="23"/>
  <c r="J13" i="23"/>
  <c r="K13" i="23"/>
  <c r="L13" i="23"/>
  <c r="H13" i="23"/>
  <c r="D3" i="6"/>
  <c r="G3" i="6" s="1"/>
  <c r="B16" i="23" l="1"/>
  <c r="W50" i="13"/>
  <c r="Q50" i="13"/>
  <c r="R50" i="13"/>
  <c r="S50" i="13"/>
  <c r="T50" i="13"/>
  <c r="U50" i="13"/>
  <c r="V50" i="13"/>
  <c r="W65" i="13"/>
  <c r="Q65" i="13"/>
  <c r="R65" i="13"/>
  <c r="S65" i="13"/>
  <c r="T65" i="13"/>
  <c r="U65" i="13"/>
  <c r="V65" i="13"/>
  <c r="W64" i="13"/>
  <c r="Q64" i="13"/>
  <c r="R64" i="13"/>
  <c r="S64" i="13"/>
  <c r="T64" i="13"/>
  <c r="U64" i="13"/>
  <c r="V64" i="13"/>
  <c r="W51" i="13"/>
  <c r="Q51" i="13"/>
  <c r="R51" i="13"/>
  <c r="S51" i="13"/>
  <c r="T51" i="13"/>
  <c r="U51" i="13"/>
  <c r="V51" i="13"/>
  <c r="W69" i="13"/>
  <c r="Q69" i="13"/>
  <c r="R69" i="13"/>
  <c r="S69" i="13"/>
  <c r="T69" i="13"/>
  <c r="U69" i="13"/>
  <c r="V69" i="13"/>
  <c r="W70" i="13"/>
  <c r="Q70" i="13"/>
  <c r="R70" i="13"/>
  <c r="S70" i="13"/>
  <c r="T70" i="13"/>
  <c r="U70" i="13"/>
  <c r="V70" i="13"/>
  <c r="W78" i="13"/>
  <c r="Q78" i="13"/>
  <c r="R78" i="13"/>
  <c r="S78" i="13"/>
  <c r="T78" i="13"/>
  <c r="U78" i="13"/>
  <c r="V78" i="13"/>
  <c r="W71" i="13"/>
  <c r="Q71" i="13"/>
  <c r="R71" i="13"/>
  <c r="S71" i="13"/>
  <c r="T71" i="13"/>
  <c r="U71" i="13"/>
  <c r="V71" i="13"/>
  <c r="D64" i="13"/>
  <c r="L64" i="13"/>
  <c r="E64" i="13"/>
  <c r="M64" i="13"/>
  <c r="F64" i="13"/>
  <c r="N64" i="13"/>
  <c r="H64" i="13"/>
  <c r="P64" i="13"/>
  <c r="I64" i="13"/>
  <c r="O64" i="13"/>
  <c r="J64" i="13"/>
  <c r="G64" i="13"/>
  <c r="K64" i="13"/>
  <c r="E69" i="13"/>
  <c r="M69" i="13"/>
  <c r="F69" i="13"/>
  <c r="N69" i="13"/>
  <c r="I69" i="13"/>
  <c r="J69" i="13"/>
  <c r="P69" i="13"/>
  <c r="D69" i="13"/>
  <c r="G69" i="13"/>
  <c r="H69" i="13"/>
  <c r="K69" i="13"/>
  <c r="L69" i="13"/>
  <c r="O69" i="13"/>
  <c r="K51" i="13"/>
  <c r="D51" i="13"/>
  <c r="L51" i="13"/>
  <c r="E51" i="13"/>
  <c r="M51" i="13"/>
  <c r="G51" i="13"/>
  <c r="O51" i="13"/>
  <c r="H51" i="13"/>
  <c r="P51" i="13"/>
  <c r="J51" i="13"/>
  <c r="F51" i="13"/>
  <c r="I51" i="13"/>
  <c r="N51" i="13"/>
  <c r="J70" i="13"/>
  <c r="K70" i="13"/>
  <c r="F70" i="13"/>
  <c r="N70" i="13"/>
  <c r="G70" i="13"/>
  <c r="O70" i="13"/>
  <c r="M70" i="13"/>
  <c r="P70" i="13"/>
  <c r="D70" i="13"/>
  <c r="I70" i="13"/>
  <c r="E70" i="13"/>
  <c r="H70" i="13"/>
  <c r="L70" i="13"/>
  <c r="J78" i="13"/>
  <c r="K78" i="13"/>
  <c r="M78" i="13"/>
  <c r="D78" i="13"/>
  <c r="N78" i="13"/>
  <c r="E78" i="13"/>
  <c r="O78" i="13"/>
  <c r="F78" i="13"/>
  <c r="P78" i="13"/>
  <c r="G78" i="13"/>
  <c r="H78" i="13"/>
  <c r="I78" i="13"/>
  <c r="L78" i="13"/>
  <c r="F50" i="13"/>
  <c r="N50" i="13"/>
  <c r="G50" i="13"/>
  <c r="O50" i="13"/>
  <c r="H50" i="13"/>
  <c r="P50" i="13"/>
  <c r="J50" i="13"/>
  <c r="K50" i="13"/>
  <c r="E50" i="13"/>
  <c r="M50" i="13"/>
  <c r="D50" i="13"/>
  <c r="I50" i="13"/>
  <c r="L50" i="13"/>
  <c r="G71" i="13"/>
  <c r="O71" i="13"/>
  <c r="H71" i="13"/>
  <c r="P71" i="13"/>
  <c r="K71" i="13"/>
  <c r="D71" i="13"/>
  <c r="L71" i="13"/>
  <c r="J71" i="13"/>
  <c r="M71" i="13"/>
  <c r="N71" i="13"/>
  <c r="E71" i="13"/>
  <c r="F71" i="13"/>
  <c r="I71" i="13"/>
  <c r="I65" i="13"/>
  <c r="J65" i="13"/>
  <c r="K65" i="13"/>
  <c r="E65" i="13"/>
  <c r="M65" i="13"/>
  <c r="F65" i="13"/>
  <c r="N65" i="13"/>
  <c r="P65" i="13"/>
  <c r="L65" i="13"/>
  <c r="D65" i="13"/>
  <c r="G65" i="13"/>
  <c r="H65" i="13"/>
  <c r="O65" i="13"/>
  <c r="B18" i="23"/>
  <c r="B17" i="23"/>
  <c r="D19" i="23"/>
  <c r="C18" i="23"/>
  <c r="C16" i="23"/>
  <c r="F19" i="23"/>
  <c r="C17" i="23"/>
  <c r="B19" i="23"/>
  <c r="F18" i="23"/>
  <c r="D16" i="23"/>
  <c r="C19" i="23"/>
  <c r="F17" i="23"/>
  <c r="D18" i="23"/>
  <c r="S36" i="17" l="1"/>
  <c r="T36" i="17"/>
  <c r="U36" i="17"/>
  <c r="S37" i="17"/>
  <c r="T37" i="17"/>
  <c r="U37" i="17"/>
  <c r="S38" i="17"/>
  <c r="T38" i="17"/>
  <c r="U38" i="17"/>
  <c r="M36" i="17"/>
  <c r="N36" i="17"/>
  <c r="O36" i="17"/>
  <c r="P36" i="17"/>
  <c r="Q36" i="17"/>
  <c r="R36" i="17"/>
  <c r="M37" i="17"/>
  <c r="N37" i="17"/>
  <c r="O37" i="17"/>
  <c r="P37" i="17"/>
  <c r="Q37" i="17"/>
  <c r="R37" i="17"/>
  <c r="M38" i="17"/>
  <c r="N38" i="17"/>
  <c r="O38" i="17"/>
  <c r="P38" i="17"/>
  <c r="Q38" i="17"/>
  <c r="R38" i="17"/>
  <c r="T34" i="27"/>
  <c r="U34" i="27"/>
  <c r="T35" i="27"/>
  <c r="U35" i="27"/>
  <c r="T36" i="27"/>
  <c r="U36" i="27"/>
  <c r="T37" i="27"/>
  <c r="U37" i="27"/>
  <c r="N34" i="27"/>
  <c r="O34" i="27"/>
  <c r="P34" i="27"/>
  <c r="Q34" i="27"/>
  <c r="R34" i="27"/>
  <c r="S34" i="27"/>
  <c r="N35" i="27"/>
  <c r="O35" i="27"/>
  <c r="P35" i="27"/>
  <c r="Q35" i="27"/>
  <c r="R35" i="27"/>
  <c r="S35" i="27"/>
  <c r="N36" i="27"/>
  <c r="O36" i="27"/>
  <c r="P36" i="27"/>
  <c r="Q36" i="27"/>
  <c r="R36" i="27"/>
  <c r="S36" i="27"/>
  <c r="N37" i="27"/>
  <c r="O37" i="27"/>
  <c r="P37" i="27"/>
  <c r="Q37" i="27"/>
  <c r="R37" i="27"/>
  <c r="S37" i="27"/>
  <c r="J34" i="27"/>
  <c r="G35" i="27"/>
  <c r="D36" i="27"/>
  <c r="L36" i="27"/>
  <c r="I37" i="27"/>
  <c r="C34" i="27"/>
  <c r="K34" i="27"/>
  <c r="H35" i="27"/>
  <c r="E36" i="27"/>
  <c r="M36" i="27"/>
  <c r="J37" i="27"/>
  <c r="D34" i="27"/>
  <c r="L34" i="27"/>
  <c r="I35" i="27"/>
  <c r="F36" i="27"/>
  <c r="C37" i="27"/>
  <c r="K37" i="27"/>
  <c r="E34" i="27"/>
  <c r="M34" i="27"/>
  <c r="J35" i="27"/>
  <c r="G36" i="27"/>
  <c r="D37" i="27"/>
  <c r="L37" i="27"/>
  <c r="F34" i="27"/>
  <c r="C35" i="27"/>
  <c r="K35" i="27"/>
  <c r="H36" i="27"/>
  <c r="E37" i="27"/>
  <c r="M37" i="27"/>
  <c r="G34" i="27"/>
  <c r="D35" i="27"/>
  <c r="L35" i="27"/>
  <c r="I36" i="27"/>
  <c r="F37" i="27"/>
  <c r="H34" i="27"/>
  <c r="E35" i="27"/>
  <c r="M35" i="27"/>
  <c r="J36" i="27"/>
  <c r="G37" i="27"/>
  <c r="K36" i="27"/>
  <c r="H37" i="27"/>
  <c r="F35" i="27"/>
  <c r="C36" i="27"/>
  <c r="B34" i="27"/>
  <c r="B37" i="27"/>
  <c r="B35" i="27"/>
  <c r="I34" i="27"/>
  <c r="B36" i="27"/>
  <c r="I36" i="17"/>
  <c r="I37" i="17"/>
  <c r="I38" i="17"/>
  <c r="E38" i="17"/>
  <c r="J36" i="17"/>
  <c r="J37" i="17"/>
  <c r="J38" i="17"/>
  <c r="B38" i="17"/>
  <c r="B36" i="17"/>
  <c r="B37" i="17"/>
  <c r="K36" i="17"/>
  <c r="K37" i="17"/>
  <c r="K38" i="17"/>
  <c r="G37" i="17"/>
  <c r="L36" i="17"/>
  <c r="L37" i="17"/>
  <c r="L38" i="17"/>
  <c r="C37" i="17"/>
  <c r="C36" i="17"/>
  <c r="E37" i="17"/>
  <c r="G36" i="17"/>
  <c r="G38" i="17"/>
  <c r="D37" i="17"/>
  <c r="D36" i="17"/>
  <c r="E36" i="17"/>
  <c r="C38" i="17"/>
  <c r="F36" i="17"/>
  <c r="F37" i="17"/>
  <c r="F38" i="17"/>
  <c r="H36" i="17"/>
  <c r="H37" i="17"/>
  <c r="H38" i="17"/>
  <c r="D38" i="17"/>
  <c r="S38" i="27" l="1"/>
  <c r="R38" i="27"/>
  <c r="Q38" i="27"/>
  <c r="P38" i="27"/>
  <c r="O38" i="27"/>
  <c r="N38" i="27"/>
  <c r="U38" i="27"/>
  <c r="T38" i="27"/>
  <c r="R39" i="17"/>
  <c r="Q39" i="17"/>
  <c r="P39" i="17"/>
  <c r="O39" i="17"/>
  <c r="N39" i="17"/>
  <c r="M39" i="17"/>
  <c r="S39" i="17"/>
  <c r="U39" i="17"/>
  <c r="H39" i="17"/>
  <c r="F39" i="17"/>
  <c r="E39" i="17"/>
  <c r="I38" i="27"/>
  <c r="E38" i="27"/>
  <c r="D38" i="27"/>
  <c r="H38" i="27"/>
  <c r="D39" i="17"/>
  <c r="K38" i="27"/>
  <c r="G38" i="27"/>
  <c r="C2" i="16" a="1"/>
  <c r="C31" i="16" s="1"/>
  <c r="G39" i="17"/>
  <c r="T39" i="17"/>
  <c r="K39" i="17"/>
  <c r="B38" i="27"/>
  <c r="C38" i="27"/>
  <c r="L39" i="17"/>
  <c r="J39" i="17"/>
  <c r="I39" i="17"/>
  <c r="J38" i="27"/>
  <c r="L38" i="27"/>
  <c r="C39" i="17"/>
  <c r="B39" i="17"/>
  <c r="F38" i="27"/>
  <c r="M38" i="27"/>
  <c r="C2" i="17" l="1" a="1"/>
  <c r="C6" i="17" s="1"/>
  <c r="AL10" i="6" s="1"/>
  <c r="C22" i="16"/>
  <c r="C25" i="16"/>
  <c r="C11" i="16"/>
  <c r="AJ15" i="6" s="1"/>
  <c r="C13" i="16"/>
  <c r="AJ17" i="6" s="1"/>
  <c r="C19" i="16"/>
  <c r="C29" i="16"/>
  <c r="C23" i="16"/>
  <c r="C28" i="16"/>
  <c r="C10" i="16"/>
  <c r="AJ14" i="6" s="1"/>
  <c r="C30" i="16"/>
  <c r="C15" i="16"/>
  <c r="AJ19" i="6" s="1"/>
  <c r="C3" i="16"/>
  <c r="AJ7" i="6" s="1"/>
  <c r="C6" i="16"/>
  <c r="AJ10" i="6" s="1"/>
  <c r="C16" i="16"/>
  <c r="AJ20" i="6" s="1"/>
  <c r="C2" i="27" a="1"/>
  <c r="C14" i="16"/>
  <c r="AJ18" i="6" s="1"/>
  <c r="C5" i="16"/>
  <c r="AJ9" i="6" s="1"/>
  <c r="C24" i="16"/>
  <c r="C2" i="16"/>
  <c r="AJ6" i="6" s="1"/>
  <c r="C27" i="16"/>
  <c r="C26" i="16"/>
  <c r="C17" i="16"/>
  <c r="AJ21" i="6" s="1"/>
  <c r="C12" i="16"/>
  <c r="AJ16" i="6" s="1"/>
  <c r="C18" i="16"/>
  <c r="AJ22" i="6" s="1"/>
  <c r="C8" i="16"/>
  <c r="AJ12" i="6" s="1"/>
  <c r="C7" i="16"/>
  <c r="AJ11" i="6" s="1"/>
  <c r="C21" i="16"/>
  <c r="AJ25" i="6" s="1"/>
  <c r="C9" i="16"/>
  <c r="AJ13" i="6" s="1"/>
  <c r="C20" i="16"/>
  <c r="AJ24" i="6" s="1"/>
  <c r="C4" i="16"/>
  <c r="AJ8" i="6" s="1"/>
  <c r="J20" i="6"/>
  <c r="X24" i="6" l="1"/>
  <c r="X13" i="6"/>
  <c r="X21" i="6"/>
  <c r="X15" i="6"/>
  <c r="X20" i="6"/>
  <c r="X17" i="6"/>
  <c r="X19" i="6"/>
  <c r="X12" i="6"/>
  <c r="X10" i="6"/>
  <c r="X11" i="6"/>
  <c r="X22" i="6"/>
  <c r="X9" i="6"/>
  <c r="X14" i="6"/>
  <c r="X25" i="6"/>
  <c r="L25" i="6" s="1"/>
  <c r="X7" i="6"/>
  <c r="X6" i="6"/>
  <c r="X8" i="6"/>
  <c r="X16" i="6"/>
  <c r="X18" i="6"/>
  <c r="X27" i="6"/>
  <c r="L27" i="6" s="1"/>
  <c r="X28" i="6"/>
  <c r="L28" i="6" s="1"/>
  <c r="X26" i="6"/>
  <c r="L26" i="6" s="1"/>
  <c r="C10" i="17"/>
  <c r="AL14" i="6" s="1"/>
  <c r="C23" i="17"/>
  <c r="C14" i="17"/>
  <c r="AL18" i="6" s="1"/>
  <c r="C27" i="17"/>
  <c r="C16" i="17"/>
  <c r="AL20" i="6" s="1"/>
  <c r="C11" i="17"/>
  <c r="AL15" i="6" s="1"/>
  <c r="C19" i="17"/>
  <c r="C3" i="17"/>
  <c r="AL7" i="6" s="1"/>
  <c r="C21" i="17"/>
  <c r="AL25" i="6" s="1"/>
  <c r="C4" i="17"/>
  <c r="AL8" i="6" s="1"/>
  <c r="C22" i="17"/>
  <c r="C12" i="17"/>
  <c r="AL16" i="6" s="1"/>
  <c r="C15" i="17"/>
  <c r="AL19" i="6" s="1"/>
  <c r="C7" i="17"/>
  <c r="AL11" i="6" s="1"/>
  <c r="C24" i="17"/>
  <c r="C2" i="17"/>
  <c r="AL6" i="6" s="1"/>
  <c r="C20" i="17"/>
  <c r="AL24" i="6" s="1"/>
  <c r="C13" i="17"/>
  <c r="AL17" i="6" s="1"/>
  <c r="C8" i="17"/>
  <c r="AL12" i="6" s="1"/>
  <c r="C5" i="17"/>
  <c r="AL9" i="6" s="1"/>
  <c r="C26" i="17"/>
  <c r="C17" i="17"/>
  <c r="AL21" i="6" s="1"/>
  <c r="C9" i="17"/>
  <c r="AL13" i="6" s="1"/>
  <c r="C25" i="17"/>
  <c r="C31" i="17"/>
  <c r="C29" i="17"/>
  <c r="C18" i="17"/>
  <c r="AL22" i="6" s="1"/>
  <c r="C30" i="17"/>
  <c r="C28" i="17"/>
  <c r="C2" i="27"/>
  <c r="AI6" i="6" s="1"/>
  <c r="C16" i="27"/>
  <c r="AI20" i="6" s="1"/>
  <c r="C25" i="27"/>
  <c r="C18" i="27"/>
  <c r="AI22" i="6" s="1"/>
  <c r="C26" i="27"/>
  <c r="C13" i="27"/>
  <c r="AI17" i="6" s="1"/>
  <c r="C20" i="27"/>
  <c r="AI24" i="6" s="1"/>
  <c r="C19" i="27"/>
  <c r="C8" i="27"/>
  <c r="AI12" i="6" s="1"/>
  <c r="C7" i="27"/>
  <c r="AI11" i="6" s="1"/>
  <c r="C22" i="27"/>
  <c r="C10" i="27"/>
  <c r="AI14" i="6" s="1"/>
  <c r="C29" i="27"/>
  <c r="C21" i="27"/>
  <c r="AI25" i="6" s="1"/>
  <c r="C11" i="27"/>
  <c r="AI15" i="6" s="1"/>
  <c r="C28" i="27"/>
  <c r="C3" i="27"/>
  <c r="AI7" i="6" s="1"/>
  <c r="C30" i="27"/>
  <c r="C9" i="27"/>
  <c r="AI13" i="6" s="1"/>
  <c r="C31" i="27"/>
  <c r="C23" i="27"/>
  <c r="C5" i="27"/>
  <c r="AI9" i="6" s="1"/>
  <c r="C6" i="27"/>
  <c r="AI10" i="6" s="1"/>
  <c r="C15" i="27"/>
  <c r="AI19" i="6" s="1"/>
  <c r="C4" i="27"/>
  <c r="AI8" i="6" s="1"/>
  <c r="C12" i="27"/>
  <c r="AI16" i="6" s="1"/>
  <c r="C17" i="27"/>
  <c r="AI21" i="6" s="1"/>
  <c r="C14" i="27"/>
  <c r="AI18" i="6" s="1"/>
  <c r="C24" i="27"/>
  <c r="C27" i="27"/>
  <c r="J11" i="6"/>
  <c r="J13" i="6"/>
  <c r="J12" i="6"/>
  <c r="J10" i="6"/>
  <c r="J7" i="6"/>
  <c r="J15" i="6"/>
  <c r="J17" i="6"/>
  <c r="J19" i="6"/>
  <c r="J9" i="6"/>
  <c r="J21" i="6"/>
  <c r="J16" i="6"/>
  <c r="J24" i="6"/>
  <c r="J22" i="6"/>
  <c r="J14" i="6"/>
  <c r="J8" i="6"/>
  <c r="J18" i="6"/>
  <c r="D2" i="5"/>
  <c r="W21" i="6" l="1"/>
  <c r="W13" i="6"/>
  <c r="Z24" i="6"/>
  <c r="Z25" i="6"/>
  <c r="Z14" i="6"/>
  <c r="W8" i="6"/>
  <c r="W6" i="6"/>
  <c r="Z13" i="6"/>
  <c r="W20" i="6"/>
  <c r="Z15" i="6"/>
  <c r="W11" i="6"/>
  <c r="W7" i="6"/>
  <c r="W24" i="6"/>
  <c r="Z20" i="6"/>
  <c r="Z6" i="6"/>
  <c r="W19" i="6"/>
  <c r="W15" i="6"/>
  <c r="W9" i="6"/>
  <c r="W25" i="6"/>
  <c r="K25" i="6" s="1"/>
  <c r="W17" i="6"/>
  <c r="Z22" i="6"/>
  <c r="Z9" i="6"/>
  <c r="Z16" i="6"/>
  <c r="Z10" i="6"/>
  <c r="W16" i="6"/>
  <c r="W12" i="6"/>
  <c r="Z11" i="6"/>
  <c r="Z19" i="6"/>
  <c r="Z12" i="6"/>
  <c r="Z18" i="6"/>
  <c r="Z7" i="6"/>
  <c r="Z21" i="6"/>
  <c r="W10" i="6"/>
  <c r="W18" i="6"/>
  <c r="W14" i="6"/>
  <c r="W22" i="6"/>
  <c r="Z17" i="6"/>
  <c r="Z8" i="6"/>
  <c r="W28" i="6"/>
  <c r="K28" i="6" s="1"/>
  <c r="W27" i="6"/>
  <c r="K27" i="6" s="1"/>
  <c r="Z26" i="6"/>
  <c r="N26" i="6" s="1"/>
  <c r="Z27" i="6"/>
  <c r="N27" i="6" s="1"/>
  <c r="W26" i="6"/>
  <c r="K26" i="6" s="1"/>
  <c r="N25" i="6"/>
  <c r="Z28" i="6"/>
  <c r="N28" i="6" s="1"/>
  <c r="AG6" i="6"/>
  <c r="L10" i="6"/>
  <c r="L21" i="6"/>
  <c r="L22" i="6"/>
  <c r="L20" i="6"/>
  <c r="L15" i="6"/>
  <c r="L14" i="6"/>
  <c r="L24" i="6"/>
  <c r="L19" i="6"/>
  <c r="L16" i="6"/>
  <c r="L8" i="6"/>
  <c r="L11" i="6"/>
  <c r="L13" i="6"/>
  <c r="L12" i="6"/>
  <c r="L9" i="6"/>
  <c r="L7" i="6"/>
  <c r="L18" i="6"/>
  <c r="L17" i="6"/>
  <c r="H3" i="6"/>
  <c r="D7" i="6" l="1"/>
  <c r="U6" i="6"/>
  <c r="U24" i="6"/>
  <c r="U21" i="6"/>
  <c r="U8" i="6"/>
  <c r="U20" i="6"/>
  <c r="U14" i="6"/>
  <c r="U13" i="6"/>
  <c r="U15" i="6"/>
  <c r="U9" i="6"/>
  <c r="U19" i="6"/>
  <c r="U12" i="6"/>
  <c r="U16" i="6"/>
  <c r="U7" i="6"/>
  <c r="U22" i="6"/>
  <c r="U17" i="6"/>
  <c r="U11" i="6"/>
  <c r="U18" i="6"/>
  <c r="U10" i="6"/>
  <c r="U25" i="6"/>
  <c r="D22" i="6"/>
  <c r="U27" i="6"/>
  <c r="D24" i="6"/>
  <c r="D25" i="6"/>
  <c r="D26" i="6"/>
  <c r="D28" i="6"/>
  <c r="U26" i="6"/>
  <c r="U28" i="6"/>
  <c r="D27" i="6"/>
  <c r="J3" i="6"/>
  <c r="K3" i="6"/>
  <c r="M3" i="6"/>
  <c r="I3" i="6"/>
  <c r="N3" i="6"/>
  <c r="L3" i="6"/>
  <c r="J21" i="10" l="1"/>
  <c r="J16" i="10" l="1"/>
  <c r="AD6" i="6" l="1"/>
  <c r="AE6" i="6"/>
  <c r="AC6" i="6"/>
  <c r="AB6" i="6"/>
  <c r="P6" i="6" l="1"/>
  <c r="P25" i="6"/>
  <c r="P7" i="6"/>
  <c r="P14" i="6"/>
  <c r="P22" i="6"/>
  <c r="G22" i="6" s="1"/>
  <c r="P15" i="6"/>
  <c r="G15" i="6" s="1"/>
  <c r="P16" i="6"/>
  <c r="G16" i="6" s="1"/>
  <c r="P19" i="6"/>
  <c r="G19" i="6" s="1"/>
  <c r="P8" i="6"/>
  <c r="G8" i="6" s="1"/>
  <c r="P18" i="6"/>
  <c r="G18" i="6" s="1"/>
  <c r="P11" i="6"/>
  <c r="G11" i="6" s="1"/>
  <c r="P17" i="6"/>
  <c r="G17" i="6" s="1"/>
  <c r="P10" i="6"/>
  <c r="G10" i="6" s="1"/>
  <c r="P24" i="6"/>
  <c r="P13" i="6"/>
  <c r="G13" i="6" s="1"/>
  <c r="P20" i="6"/>
  <c r="G20" i="6" s="1"/>
  <c r="P21" i="6"/>
  <c r="P12" i="6"/>
  <c r="P9" i="6"/>
  <c r="G9" i="6" s="1"/>
  <c r="Q6" i="6"/>
  <c r="Q19" i="6"/>
  <c r="Q24" i="6"/>
  <c r="Q9" i="6"/>
  <c r="Q17" i="6"/>
  <c r="Q11" i="6"/>
  <c r="Q14" i="6"/>
  <c r="Q18" i="6"/>
  <c r="Q21" i="6"/>
  <c r="Q7" i="6"/>
  <c r="Q12" i="6"/>
  <c r="Q8" i="6"/>
  <c r="Q16" i="6"/>
  <c r="Q15" i="6"/>
  <c r="Q20" i="6"/>
  <c r="Q22" i="6"/>
  <c r="Q13" i="6"/>
  <c r="Q10" i="6"/>
  <c r="Q25" i="6"/>
  <c r="S6" i="6"/>
  <c r="S13" i="6"/>
  <c r="S21" i="6"/>
  <c r="S19" i="6"/>
  <c r="S24" i="6"/>
  <c r="S20" i="6"/>
  <c r="S18" i="6"/>
  <c r="S11" i="6"/>
  <c r="S25" i="6"/>
  <c r="S10" i="6"/>
  <c r="S7" i="6"/>
  <c r="S15" i="6"/>
  <c r="S9" i="6"/>
  <c r="S14" i="6"/>
  <c r="S8" i="6"/>
  <c r="S22" i="6"/>
  <c r="S12" i="6"/>
  <c r="S16" i="6"/>
  <c r="S17" i="6"/>
  <c r="R6" i="6"/>
  <c r="R17" i="6"/>
  <c r="R21" i="6"/>
  <c r="R22" i="6"/>
  <c r="R10" i="6"/>
  <c r="R18" i="6"/>
  <c r="R24" i="6"/>
  <c r="R14" i="6"/>
  <c r="R13" i="6"/>
  <c r="R20" i="6"/>
  <c r="R12" i="6"/>
  <c r="R11" i="6"/>
  <c r="R7" i="6"/>
  <c r="R15" i="6"/>
  <c r="R8" i="6"/>
  <c r="R19" i="6"/>
  <c r="R9" i="6"/>
  <c r="R16" i="6"/>
  <c r="R25" i="6"/>
  <c r="Q26" i="6"/>
  <c r="Q28" i="6"/>
  <c r="Q27" i="6"/>
  <c r="S26" i="6"/>
  <c r="S27" i="6"/>
  <c r="S28" i="6"/>
  <c r="P27" i="6"/>
  <c r="G27" i="6" s="1"/>
  <c r="P28" i="6"/>
  <c r="G28" i="6" s="1"/>
  <c r="P26" i="6"/>
  <c r="G26" i="6" s="1"/>
  <c r="G25" i="6"/>
  <c r="R26" i="6"/>
  <c r="R27" i="6"/>
  <c r="R28" i="6"/>
  <c r="G6" i="6"/>
  <c r="G24" i="6"/>
  <c r="G12" i="6"/>
  <c r="G21" i="6"/>
  <c r="G7" i="6"/>
  <c r="G14" i="6"/>
  <c r="H27" i="6" l="1"/>
  <c r="H28" i="6"/>
  <c r="H26" i="6"/>
  <c r="H25" i="6"/>
  <c r="H6" i="6"/>
  <c r="J54" i="12"/>
  <c r="R54" i="12"/>
  <c r="K54" i="12"/>
  <c r="S54" i="12"/>
  <c r="AC54" i="12"/>
  <c r="L54" i="12"/>
  <c r="T54" i="12"/>
  <c r="AB54" i="12"/>
  <c r="M54" i="12"/>
  <c r="O54" i="12"/>
  <c r="N54" i="12"/>
  <c r="P54" i="12"/>
  <c r="I54" i="12"/>
  <c r="Q54" i="12"/>
  <c r="H22" i="6"/>
  <c r="H7" i="6"/>
  <c r="H17" i="6"/>
  <c r="H19" i="6"/>
  <c r="H18" i="6"/>
  <c r="H20" i="6"/>
  <c r="H9" i="6"/>
  <c r="H14" i="6"/>
  <c r="H11" i="6"/>
  <c r="H24" i="6"/>
  <c r="H8" i="6"/>
  <c r="H15" i="6"/>
  <c r="H10" i="6"/>
  <c r="H12" i="6"/>
  <c r="H13" i="6"/>
  <c r="H21" i="6"/>
  <c r="H16" i="6"/>
  <c r="C2" i="12" l="1" a="1"/>
  <c r="J28" i="10"/>
  <c r="J26" i="10"/>
  <c r="K26" i="10" s="1"/>
  <c r="J25" i="10"/>
  <c r="K25" i="10" s="1"/>
  <c r="J24" i="10"/>
  <c r="K24" i="10" s="1"/>
  <c r="J23" i="10"/>
  <c r="K23" i="10" s="1"/>
  <c r="J22" i="10"/>
  <c r="K22" i="10" s="1"/>
  <c r="J20" i="10"/>
  <c r="J19" i="10"/>
  <c r="K19" i="10" s="1"/>
  <c r="J18" i="10"/>
  <c r="J17" i="10"/>
  <c r="K16" i="10"/>
  <c r="J27" i="10"/>
  <c r="K27" i="10" s="1"/>
  <c r="G20" i="10"/>
  <c r="G18" i="10"/>
  <c r="K18" i="10" l="1"/>
  <c r="K20" i="10"/>
  <c r="O47" i="10"/>
  <c r="B68" i="13" s="1"/>
  <c r="O26" i="10"/>
  <c r="B47" i="13" s="1"/>
  <c r="O42" i="10"/>
  <c r="B63" i="13" s="1"/>
  <c r="O27" i="10"/>
  <c r="B48" i="13" s="1"/>
  <c r="O28" i="10"/>
  <c r="B49" i="13" s="1"/>
  <c r="O58" i="10"/>
  <c r="B79" i="13" s="1"/>
  <c r="O51" i="10"/>
  <c r="B72" i="13" s="1"/>
  <c r="O38" i="10"/>
  <c r="B59" i="13" s="1"/>
  <c r="O40" i="10"/>
  <c r="B61" i="13" s="1"/>
  <c r="O24" i="10"/>
  <c r="B45" i="13" s="1"/>
  <c r="O25" i="10"/>
  <c r="B46" i="13" s="1"/>
  <c r="O41" i="10"/>
  <c r="B62" i="13" s="1"/>
  <c r="O18" i="10"/>
  <c r="B39" i="13" s="1"/>
  <c r="O37" i="10"/>
  <c r="B58" i="13" s="1"/>
  <c r="O19" i="10"/>
  <c r="B40" i="13" s="1"/>
  <c r="O21" i="10"/>
  <c r="B42" i="13" s="1"/>
  <c r="O20" i="10"/>
  <c r="B41" i="13" s="1"/>
  <c r="O22" i="10"/>
  <c r="B43" i="13" s="1"/>
  <c r="O23" i="10"/>
  <c r="B44" i="13" s="1"/>
  <c r="O39" i="10"/>
  <c r="B60" i="13" s="1"/>
  <c r="O32" i="10"/>
  <c r="B53" i="13" s="1"/>
  <c r="O34" i="10"/>
  <c r="B55" i="13" s="1"/>
  <c r="O36" i="10"/>
  <c r="B57" i="13" s="1"/>
  <c r="O31" i="10"/>
  <c r="B52" i="13" s="1"/>
  <c r="O33" i="10"/>
  <c r="B54" i="13" s="1"/>
  <c r="O16" i="10"/>
  <c r="B37" i="13" s="1"/>
  <c r="O15" i="10"/>
  <c r="B36" i="13" s="1"/>
  <c r="O17" i="10"/>
  <c r="B38" i="13" s="1"/>
  <c r="O35" i="10"/>
  <c r="B56" i="13" s="1"/>
  <c r="K28" i="10"/>
  <c r="K17" i="10"/>
  <c r="C15" i="12"/>
  <c r="C14" i="12"/>
  <c r="C18" i="12"/>
  <c r="C16" i="12"/>
  <c r="C3" i="12"/>
  <c r="C9" i="12"/>
  <c r="C17" i="12"/>
  <c r="C4" i="12"/>
  <c r="C22" i="12"/>
  <c r="C21" i="12"/>
  <c r="AK25" i="6" s="1"/>
  <c r="C8" i="12"/>
  <c r="C7" i="12"/>
  <c r="C12" i="12"/>
  <c r="C20" i="12"/>
  <c r="C11" i="12"/>
  <c r="C13" i="12"/>
  <c r="C23" i="12"/>
  <c r="C6" i="12"/>
  <c r="C10" i="12"/>
  <c r="C19" i="12"/>
  <c r="C5" i="12"/>
  <c r="W56" i="13" l="1"/>
  <c r="Q56" i="13"/>
  <c r="R56" i="13"/>
  <c r="S56" i="13"/>
  <c r="T56" i="13"/>
  <c r="U56" i="13"/>
  <c r="V56" i="13"/>
  <c r="W38" i="13"/>
  <c r="Q38" i="13"/>
  <c r="R38" i="13"/>
  <c r="S38" i="13"/>
  <c r="T38" i="13"/>
  <c r="U38" i="13"/>
  <c r="V38" i="13"/>
  <c r="W36" i="13"/>
  <c r="Q36" i="13"/>
  <c r="R36" i="13"/>
  <c r="S36" i="13"/>
  <c r="T36" i="13"/>
  <c r="U36" i="13"/>
  <c r="V36" i="13"/>
  <c r="W37" i="13"/>
  <c r="Q37" i="13"/>
  <c r="R37" i="13"/>
  <c r="S37" i="13"/>
  <c r="T37" i="13"/>
  <c r="U37" i="13"/>
  <c r="V37" i="13"/>
  <c r="W54" i="13"/>
  <c r="Q54" i="13"/>
  <c r="R54" i="13"/>
  <c r="S54" i="13"/>
  <c r="T54" i="13"/>
  <c r="U54" i="13"/>
  <c r="V54" i="13"/>
  <c r="W52" i="13"/>
  <c r="Q52" i="13"/>
  <c r="R52" i="13"/>
  <c r="S52" i="13"/>
  <c r="T52" i="13"/>
  <c r="U52" i="13"/>
  <c r="V52" i="13"/>
  <c r="W57" i="13"/>
  <c r="Q57" i="13"/>
  <c r="R57" i="13"/>
  <c r="S57" i="13"/>
  <c r="T57" i="13"/>
  <c r="U57" i="13"/>
  <c r="V57" i="13"/>
  <c r="W55" i="13"/>
  <c r="Q55" i="13"/>
  <c r="R55" i="13"/>
  <c r="S55" i="13"/>
  <c r="T55" i="13"/>
  <c r="U55" i="13"/>
  <c r="V55" i="13"/>
  <c r="W53" i="13"/>
  <c r="Q53" i="13"/>
  <c r="R53" i="13"/>
  <c r="S53" i="13"/>
  <c r="T53" i="13"/>
  <c r="U53" i="13"/>
  <c r="V53" i="13"/>
  <c r="W60" i="13"/>
  <c r="Q60" i="13"/>
  <c r="R60" i="13"/>
  <c r="S60" i="13"/>
  <c r="T60" i="13"/>
  <c r="U60" i="13"/>
  <c r="V60" i="13"/>
  <c r="W44" i="13"/>
  <c r="Q44" i="13"/>
  <c r="R44" i="13"/>
  <c r="S44" i="13"/>
  <c r="T44" i="13"/>
  <c r="U44" i="13"/>
  <c r="V44" i="13"/>
  <c r="W43" i="13"/>
  <c r="Q43" i="13"/>
  <c r="R43" i="13"/>
  <c r="S43" i="13"/>
  <c r="T43" i="13"/>
  <c r="U43" i="13"/>
  <c r="V43" i="13"/>
  <c r="W41" i="13"/>
  <c r="Q41" i="13"/>
  <c r="R41" i="13"/>
  <c r="S41" i="13"/>
  <c r="T41" i="13"/>
  <c r="U41" i="13"/>
  <c r="V41" i="13"/>
  <c r="W42" i="13"/>
  <c r="Q42" i="13"/>
  <c r="R42" i="13"/>
  <c r="S42" i="13"/>
  <c r="T42" i="13"/>
  <c r="U42" i="13"/>
  <c r="V42" i="13"/>
  <c r="W40" i="13"/>
  <c r="Q40" i="13"/>
  <c r="R40" i="13"/>
  <c r="S40" i="13"/>
  <c r="T40" i="13"/>
  <c r="U40" i="13"/>
  <c r="V40" i="13"/>
  <c r="W58" i="13"/>
  <c r="Q58" i="13"/>
  <c r="R58" i="13"/>
  <c r="S58" i="13"/>
  <c r="T58" i="13"/>
  <c r="U58" i="13"/>
  <c r="V58" i="13"/>
  <c r="W39" i="13"/>
  <c r="Q39" i="13"/>
  <c r="R39" i="13"/>
  <c r="S39" i="13"/>
  <c r="T39" i="13"/>
  <c r="U39" i="13"/>
  <c r="V39" i="13"/>
  <c r="W62" i="13"/>
  <c r="Q62" i="13"/>
  <c r="R62" i="13"/>
  <c r="S62" i="13"/>
  <c r="T62" i="13"/>
  <c r="U62" i="13"/>
  <c r="V62" i="13"/>
  <c r="W46" i="13"/>
  <c r="Q46" i="13"/>
  <c r="R46" i="13"/>
  <c r="S46" i="13"/>
  <c r="T46" i="13"/>
  <c r="U46" i="13"/>
  <c r="V46" i="13"/>
  <c r="W45" i="13"/>
  <c r="Q45" i="13"/>
  <c r="R45" i="13"/>
  <c r="S45" i="13"/>
  <c r="T45" i="13"/>
  <c r="U45" i="13"/>
  <c r="V45" i="13"/>
  <c r="W61" i="13"/>
  <c r="Q61" i="13"/>
  <c r="R61" i="13"/>
  <c r="S61" i="13"/>
  <c r="T61" i="13"/>
  <c r="U61" i="13"/>
  <c r="V61" i="13"/>
  <c r="W59" i="13"/>
  <c r="Q59" i="13"/>
  <c r="R59" i="13"/>
  <c r="S59" i="13"/>
  <c r="T59" i="13"/>
  <c r="U59" i="13"/>
  <c r="V59" i="13"/>
  <c r="W72" i="13"/>
  <c r="Q72" i="13"/>
  <c r="R72" i="13"/>
  <c r="S72" i="13"/>
  <c r="T72" i="13"/>
  <c r="U72" i="13"/>
  <c r="V72" i="13"/>
  <c r="W79" i="13"/>
  <c r="Q79" i="13"/>
  <c r="R79" i="13"/>
  <c r="S79" i="13"/>
  <c r="T79" i="13"/>
  <c r="U79" i="13"/>
  <c r="V79" i="13"/>
  <c r="W49" i="13"/>
  <c r="Q49" i="13"/>
  <c r="R49" i="13"/>
  <c r="S49" i="13"/>
  <c r="T49" i="13"/>
  <c r="U49" i="13"/>
  <c r="V49" i="13"/>
  <c r="W48" i="13"/>
  <c r="Q48" i="13"/>
  <c r="R48" i="13"/>
  <c r="S48" i="13"/>
  <c r="T48" i="13"/>
  <c r="U48" i="13"/>
  <c r="V48" i="13"/>
  <c r="W63" i="13"/>
  <c r="Q63" i="13"/>
  <c r="R63" i="13"/>
  <c r="S63" i="13"/>
  <c r="T63" i="13"/>
  <c r="U63" i="13"/>
  <c r="V63" i="13"/>
  <c r="W47" i="13"/>
  <c r="Q47" i="13"/>
  <c r="R47" i="13"/>
  <c r="S47" i="13"/>
  <c r="T47" i="13"/>
  <c r="U47" i="13"/>
  <c r="V47" i="13"/>
  <c r="W68" i="13"/>
  <c r="Q68" i="13"/>
  <c r="R68" i="13"/>
  <c r="S68" i="13"/>
  <c r="T68" i="13"/>
  <c r="U68" i="13"/>
  <c r="V68" i="13"/>
  <c r="G55" i="13"/>
  <c r="O55" i="13"/>
  <c r="H55" i="13"/>
  <c r="P55" i="13"/>
  <c r="I55" i="13"/>
  <c r="K55" i="13"/>
  <c r="D55" i="13"/>
  <c r="L55" i="13"/>
  <c r="F55" i="13"/>
  <c r="N55" i="13"/>
  <c r="E55" i="13"/>
  <c r="J55" i="13"/>
  <c r="M55" i="13"/>
  <c r="F58" i="13"/>
  <c r="N58" i="13"/>
  <c r="G58" i="13"/>
  <c r="O58" i="13"/>
  <c r="H58" i="13"/>
  <c r="P58" i="13"/>
  <c r="J58" i="13"/>
  <c r="K58" i="13"/>
  <c r="E58" i="13"/>
  <c r="M58" i="13"/>
  <c r="D58" i="13"/>
  <c r="I58" i="13"/>
  <c r="L58" i="13"/>
  <c r="H79" i="13"/>
  <c r="D79" i="13"/>
  <c r="M79" i="13"/>
  <c r="K79" i="13"/>
  <c r="E79" i="13"/>
  <c r="N79" i="13"/>
  <c r="F79" i="13"/>
  <c r="O79" i="13"/>
  <c r="G79" i="13"/>
  <c r="P79" i="13"/>
  <c r="I79" i="13"/>
  <c r="J79" i="13"/>
  <c r="L79" i="13"/>
  <c r="E53" i="13"/>
  <c r="M53" i="13"/>
  <c r="F53" i="13"/>
  <c r="N53" i="13"/>
  <c r="G53" i="13"/>
  <c r="O53" i="13"/>
  <c r="I53" i="13"/>
  <c r="J53" i="13"/>
  <c r="D53" i="13"/>
  <c r="L53" i="13"/>
  <c r="H53" i="13"/>
  <c r="K53" i="13"/>
  <c r="P53" i="13"/>
  <c r="G49" i="13"/>
  <c r="O49" i="13"/>
  <c r="H49" i="13"/>
  <c r="J49" i="13"/>
  <c r="E49" i="13"/>
  <c r="M49" i="13"/>
  <c r="D49" i="13"/>
  <c r="F49" i="13"/>
  <c r="K49" i="13"/>
  <c r="L49" i="13"/>
  <c r="P49" i="13"/>
  <c r="I49" i="13"/>
  <c r="N49" i="13"/>
  <c r="J48" i="13"/>
  <c r="K48" i="13"/>
  <c r="E48" i="13"/>
  <c r="M48" i="13"/>
  <c r="F48" i="13"/>
  <c r="H48" i="13"/>
  <c r="P48" i="13"/>
  <c r="D48" i="13"/>
  <c r="G48" i="13"/>
  <c r="I48" i="13"/>
  <c r="N48" i="13"/>
  <c r="O48" i="13"/>
  <c r="L48" i="13"/>
  <c r="O36" i="13"/>
  <c r="H36" i="13"/>
  <c r="P36" i="13"/>
  <c r="E36" i="13"/>
  <c r="I36" i="13"/>
  <c r="F36" i="13"/>
  <c r="M36" i="13"/>
  <c r="J36" i="13"/>
  <c r="G36" i="13"/>
  <c r="K36" i="13"/>
  <c r="D36" i="13"/>
  <c r="L36" i="13"/>
  <c r="N36" i="13"/>
  <c r="F44" i="13"/>
  <c r="N44" i="13"/>
  <c r="G44" i="13"/>
  <c r="O44" i="13"/>
  <c r="I44" i="13"/>
  <c r="J44" i="13"/>
  <c r="K44" i="13"/>
  <c r="D44" i="13"/>
  <c r="L44" i="13"/>
  <c r="P44" i="13"/>
  <c r="E44" i="13"/>
  <c r="M44" i="13"/>
  <c r="H44" i="13"/>
  <c r="H46" i="13"/>
  <c r="P46" i="13"/>
  <c r="I46" i="13"/>
  <c r="K46" i="13"/>
  <c r="D46" i="13"/>
  <c r="L46" i="13"/>
  <c r="E46" i="13"/>
  <c r="M46" i="13"/>
  <c r="F46" i="13"/>
  <c r="N46" i="13"/>
  <c r="J46" i="13"/>
  <c r="O46" i="13"/>
  <c r="G46" i="13"/>
  <c r="G63" i="13"/>
  <c r="O63" i="13"/>
  <c r="H63" i="13"/>
  <c r="P63" i="13"/>
  <c r="I63" i="13"/>
  <c r="K63" i="13"/>
  <c r="D63" i="13"/>
  <c r="L63" i="13"/>
  <c r="M63" i="13"/>
  <c r="N63" i="13"/>
  <c r="F63" i="13"/>
  <c r="E63" i="13"/>
  <c r="J63" i="13"/>
  <c r="O52" i="10"/>
  <c r="B73" i="13" s="1"/>
  <c r="O56" i="10"/>
  <c r="B77" i="13" s="1"/>
  <c r="O55" i="10"/>
  <c r="B76" i="13" s="1"/>
  <c r="O54" i="10"/>
  <c r="B75" i="13" s="1"/>
  <c r="O53" i="10"/>
  <c r="B74" i="13" s="1"/>
  <c r="J62" i="13"/>
  <c r="K62" i="13"/>
  <c r="D62" i="13"/>
  <c r="L62" i="13"/>
  <c r="F62" i="13"/>
  <c r="N62" i="13"/>
  <c r="G62" i="13"/>
  <c r="O62" i="13"/>
  <c r="I62" i="13"/>
  <c r="M62" i="13"/>
  <c r="P62" i="13"/>
  <c r="E62" i="13"/>
  <c r="H62" i="13"/>
  <c r="K37" i="13"/>
  <c r="D37" i="13"/>
  <c r="L37" i="13"/>
  <c r="F37" i="13"/>
  <c r="N37" i="13"/>
  <c r="G37" i="13"/>
  <c r="O37" i="13"/>
  <c r="H37" i="13"/>
  <c r="P37" i="13"/>
  <c r="I37" i="13"/>
  <c r="E37" i="13"/>
  <c r="J37" i="13"/>
  <c r="M37" i="13"/>
  <c r="I43" i="13"/>
  <c r="J43" i="13"/>
  <c r="D43" i="13"/>
  <c r="L43" i="13"/>
  <c r="E43" i="13"/>
  <c r="M43" i="13"/>
  <c r="F43" i="13"/>
  <c r="N43" i="13"/>
  <c r="G43" i="13"/>
  <c r="O43" i="13"/>
  <c r="H43" i="13"/>
  <c r="K43" i="13"/>
  <c r="P43" i="13"/>
  <c r="K45" i="13"/>
  <c r="D45" i="13"/>
  <c r="L45" i="13"/>
  <c r="F45" i="13"/>
  <c r="N45" i="13"/>
  <c r="G45" i="13"/>
  <c r="O45" i="13"/>
  <c r="H45" i="13"/>
  <c r="P45" i="13"/>
  <c r="I45" i="13"/>
  <c r="E45" i="13"/>
  <c r="M45" i="13"/>
  <c r="J45" i="13"/>
  <c r="E47" i="13"/>
  <c r="M47" i="13"/>
  <c r="F47" i="13"/>
  <c r="N47" i="13"/>
  <c r="H47" i="13"/>
  <c r="P47" i="13"/>
  <c r="I47" i="13"/>
  <c r="J47" i="13"/>
  <c r="K47" i="13"/>
  <c r="G47" i="13"/>
  <c r="L47" i="13"/>
  <c r="D47" i="13"/>
  <c r="O47" i="13"/>
  <c r="D56" i="13"/>
  <c r="L56" i="13"/>
  <c r="E56" i="13"/>
  <c r="M56" i="13"/>
  <c r="F56" i="13"/>
  <c r="N56" i="13"/>
  <c r="H56" i="13"/>
  <c r="P56" i="13"/>
  <c r="I56" i="13"/>
  <c r="K56" i="13"/>
  <c r="G56" i="13"/>
  <c r="J56" i="13"/>
  <c r="O56" i="13"/>
  <c r="H60" i="13"/>
  <c r="P60" i="13"/>
  <c r="I60" i="13"/>
  <c r="J60" i="13"/>
  <c r="D60" i="13"/>
  <c r="L60" i="13"/>
  <c r="E60" i="13"/>
  <c r="M60" i="13"/>
  <c r="G60" i="13"/>
  <c r="O60" i="13"/>
  <c r="F60" i="13"/>
  <c r="K60" i="13"/>
  <c r="N60" i="13"/>
  <c r="G41" i="13"/>
  <c r="O41" i="13"/>
  <c r="H41" i="13"/>
  <c r="P41" i="13"/>
  <c r="J41" i="13"/>
  <c r="K41" i="13"/>
  <c r="D41" i="13"/>
  <c r="L41" i="13"/>
  <c r="E41" i="13"/>
  <c r="M41" i="13"/>
  <c r="I41" i="13"/>
  <c r="N41" i="13"/>
  <c r="F41" i="13"/>
  <c r="H68" i="13"/>
  <c r="P68" i="13"/>
  <c r="I68" i="13"/>
  <c r="D68" i="13"/>
  <c r="L68" i="13"/>
  <c r="E68" i="13"/>
  <c r="M68" i="13"/>
  <c r="F68" i="13"/>
  <c r="G68" i="13"/>
  <c r="J68" i="13"/>
  <c r="O68" i="13"/>
  <c r="K68" i="13"/>
  <c r="N68" i="13"/>
  <c r="H52" i="13"/>
  <c r="P52" i="13"/>
  <c r="I52" i="13"/>
  <c r="J52" i="13"/>
  <c r="D52" i="13"/>
  <c r="L52" i="13"/>
  <c r="E52" i="13"/>
  <c r="M52" i="13"/>
  <c r="G52" i="13"/>
  <c r="O52" i="13"/>
  <c r="K52" i="13"/>
  <c r="F52" i="13"/>
  <c r="N52" i="13"/>
  <c r="D42" i="13"/>
  <c r="L42" i="13"/>
  <c r="E42" i="13"/>
  <c r="M42" i="13"/>
  <c r="G42" i="13"/>
  <c r="O42" i="13"/>
  <c r="H42" i="13"/>
  <c r="P42" i="13"/>
  <c r="I42" i="13"/>
  <c r="J42" i="13"/>
  <c r="F42" i="13"/>
  <c r="K42" i="13"/>
  <c r="N42" i="13"/>
  <c r="K59" i="13"/>
  <c r="D59" i="13"/>
  <c r="L59" i="13"/>
  <c r="E59" i="13"/>
  <c r="M59" i="13"/>
  <c r="G59" i="13"/>
  <c r="O59" i="13"/>
  <c r="H59" i="13"/>
  <c r="P59" i="13"/>
  <c r="J59" i="13"/>
  <c r="N59" i="13"/>
  <c r="F59" i="13"/>
  <c r="I59" i="13"/>
  <c r="E39" i="13"/>
  <c r="M39" i="13"/>
  <c r="F39" i="13"/>
  <c r="N39" i="13"/>
  <c r="H39" i="13"/>
  <c r="P39" i="13"/>
  <c r="I39" i="13"/>
  <c r="J39" i="13"/>
  <c r="K39" i="13"/>
  <c r="O39" i="13"/>
  <c r="D39" i="13"/>
  <c r="L39" i="13"/>
  <c r="G39" i="13"/>
  <c r="H38" i="13"/>
  <c r="P38" i="13"/>
  <c r="I38" i="13"/>
  <c r="K38" i="13"/>
  <c r="D38" i="13"/>
  <c r="L38" i="13"/>
  <c r="E38" i="13"/>
  <c r="M38" i="13"/>
  <c r="F38" i="13"/>
  <c r="N38" i="13"/>
  <c r="G38" i="13"/>
  <c r="J38" i="13"/>
  <c r="O38" i="13"/>
  <c r="J54" i="13"/>
  <c r="K54" i="13"/>
  <c r="D54" i="13"/>
  <c r="L54" i="13"/>
  <c r="F54" i="13"/>
  <c r="N54" i="13"/>
  <c r="G54" i="13"/>
  <c r="O54" i="13"/>
  <c r="I54" i="13"/>
  <c r="M54" i="13"/>
  <c r="P54" i="13"/>
  <c r="E54" i="13"/>
  <c r="H54" i="13"/>
  <c r="E61" i="13"/>
  <c r="M61" i="13"/>
  <c r="F61" i="13"/>
  <c r="N61" i="13"/>
  <c r="G61" i="13"/>
  <c r="O61" i="13"/>
  <c r="I61" i="13"/>
  <c r="J61" i="13"/>
  <c r="D61" i="13"/>
  <c r="H61" i="13"/>
  <c r="K61" i="13"/>
  <c r="L61" i="13"/>
  <c r="P61" i="13"/>
  <c r="I57" i="13"/>
  <c r="J57" i="13"/>
  <c r="K57" i="13"/>
  <c r="E57" i="13"/>
  <c r="M57" i="13"/>
  <c r="F57" i="13"/>
  <c r="N57" i="13"/>
  <c r="H57" i="13"/>
  <c r="P57" i="13"/>
  <c r="L57" i="13"/>
  <c r="D57" i="13"/>
  <c r="G57" i="13"/>
  <c r="O57" i="13"/>
  <c r="J40" i="13"/>
  <c r="K40" i="13"/>
  <c r="E40" i="13"/>
  <c r="M40" i="13"/>
  <c r="F40" i="13"/>
  <c r="N40" i="13"/>
  <c r="G40" i="13"/>
  <c r="O40" i="13"/>
  <c r="H40" i="13"/>
  <c r="P40" i="13"/>
  <c r="D40" i="13"/>
  <c r="L40" i="13"/>
  <c r="I40" i="13"/>
  <c r="D72" i="13"/>
  <c r="L72" i="13"/>
  <c r="E72" i="13"/>
  <c r="M72" i="13"/>
  <c r="H72" i="13"/>
  <c r="P72" i="13"/>
  <c r="G72" i="13"/>
  <c r="I72" i="13"/>
  <c r="J72" i="13"/>
  <c r="K72" i="13"/>
  <c r="N72" i="13"/>
  <c r="O72" i="13"/>
  <c r="F72" i="13"/>
  <c r="AK20" i="6"/>
  <c r="AK22" i="6"/>
  <c r="AK18" i="6"/>
  <c r="AK17" i="6"/>
  <c r="AK8" i="6"/>
  <c r="AK11" i="6"/>
  <c r="AK14" i="6"/>
  <c r="AK19" i="6"/>
  <c r="AK15" i="6"/>
  <c r="AK21" i="6"/>
  <c r="AK12" i="6"/>
  <c r="AK9" i="6"/>
  <c r="AK24" i="6"/>
  <c r="AK13" i="6"/>
  <c r="AK10" i="6"/>
  <c r="AK16" i="6"/>
  <c r="AK7" i="6"/>
  <c r="O45" i="10"/>
  <c r="B66" i="13" s="1"/>
  <c r="O46" i="10"/>
  <c r="B67" i="13" s="1"/>
  <c r="W67" i="13" l="1"/>
  <c r="Q67" i="13"/>
  <c r="R67" i="13"/>
  <c r="S67" i="13"/>
  <c r="T67" i="13"/>
  <c r="U67" i="13"/>
  <c r="V67" i="13"/>
  <c r="W66" i="13"/>
  <c r="Q66" i="13"/>
  <c r="R66" i="13"/>
  <c r="S66" i="13"/>
  <c r="T66" i="13"/>
  <c r="U66" i="13"/>
  <c r="V66" i="13"/>
  <c r="W74" i="13"/>
  <c r="Q74" i="13"/>
  <c r="R74" i="13"/>
  <c r="S74" i="13"/>
  <c r="T74" i="13"/>
  <c r="U74" i="13"/>
  <c r="V74" i="13"/>
  <c r="W75" i="13"/>
  <c r="Q75" i="13"/>
  <c r="R75" i="13"/>
  <c r="S75" i="13"/>
  <c r="T75" i="13"/>
  <c r="U75" i="13"/>
  <c r="V75" i="13"/>
  <c r="W76" i="13"/>
  <c r="Q76" i="13"/>
  <c r="R76" i="13"/>
  <c r="S76" i="13"/>
  <c r="T76" i="13"/>
  <c r="U76" i="13"/>
  <c r="V76" i="13"/>
  <c r="W77" i="13"/>
  <c r="Q77" i="13"/>
  <c r="R77" i="13"/>
  <c r="S77" i="13"/>
  <c r="T77" i="13"/>
  <c r="U77" i="13"/>
  <c r="V77" i="13"/>
  <c r="W73" i="13"/>
  <c r="Q73" i="13"/>
  <c r="R73" i="13"/>
  <c r="S73" i="13"/>
  <c r="T73" i="13"/>
  <c r="U73" i="13"/>
  <c r="V73" i="13"/>
  <c r="U34" i="13"/>
  <c r="T34" i="13"/>
  <c r="S34" i="13"/>
  <c r="W34" i="13"/>
  <c r="I73" i="13"/>
  <c r="J73" i="13"/>
  <c r="L73" i="13"/>
  <c r="M73" i="13"/>
  <c r="D73" i="13"/>
  <c r="N73" i="13"/>
  <c r="H73" i="13"/>
  <c r="E73" i="13"/>
  <c r="O73" i="13"/>
  <c r="F73" i="13"/>
  <c r="P73" i="13"/>
  <c r="G73" i="13"/>
  <c r="K73" i="13"/>
  <c r="F66" i="13"/>
  <c r="N66" i="13"/>
  <c r="G66" i="13"/>
  <c r="O66" i="13"/>
  <c r="H66" i="13"/>
  <c r="P66" i="13"/>
  <c r="J66" i="13"/>
  <c r="K66" i="13"/>
  <c r="D66" i="13"/>
  <c r="E66" i="13"/>
  <c r="I66" i="13"/>
  <c r="L66" i="13"/>
  <c r="M66" i="13"/>
  <c r="K67" i="13"/>
  <c r="D67" i="13"/>
  <c r="L67" i="13"/>
  <c r="E67" i="13"/>
  <c r="M67" i="13"/>
  <c r="G67" i="13"/>
  <c r="O67" i="13"/>
  <c r="H67" i="13"/>
  <c r="P67" i="13"/>
  <c r="F67" i="13"/>
  <c r="I67" i="13"/>
  <c r="J67" i="13"/>
  <c r="N67" i="13"/>
  <c r="E77" i="13"/>
  <c r="M77" i="13"/>
  <c r="F77" i="13"/>
  <c r="N77" i="13"/>
  <c r="J77" i="13"/>
  <c r="H77" i="13"/>
  <c r="K77" i="13"/>
  <c r="L77" i="13"/>
  <c r="O77" i="13"/>
  <c r="D77" i="13"/>
  <c r="P77" i="13"/>
  <c r="G77" i="13"/>
  <c r="I77" i="13"/>
  <c r="F74" i="13"/>
  <c r="N74" i="13"/>
  <c r="G74" i="13"/>
  <c r="O74" i="13"/>
  <c r="M74" i="13"/>
  <c r="K74" i="13"/>
  <c r="D74" i="13"/>
  <c r="P74" i="13"/>
  <c r="E74" i="13"/>
  <c r="H74" i="13"/>
  <c r="I74" i="13"/>
  <c r="J74" i="13"/>
  <c r="L74" i="13"/>
  <c r="K75" i="13"/>
  <c r="D75" i="13"/>
  <c r="L75" i="13"/>
  <c r="F75" i="13"/>
  <c r="P75" i="13"/>
  <c r="G75" i="13"/>
  <c r="H75" i="13"/>
  <c r="I75" i="13"/>
  <c r="N75" i="13"/>
  <c r="J75" i="13"/>
  <c r="M75" i="13"/>
  <c r="E75" i="13"/>
  <c r="O75" i="13"/>
  <c r="H76" i="13"/>
  <c r="P76" i="13"/>
  <c r="I76" i="13"/>
  <c r="G76" i="13"/>
  <c r="J76" i="13"/>
  <c r="K76" i="13"/>
  <c r="L76" i="13"/>
  <c r="O76" i="13"/>
  <c r="M76" i="13"/>
  <c r="D76" i="13"/>
  <c r="N76" i="13"/>
  <c r="E76" i="13"/>
  <c r="F76" i="13"/>
  <c r="O34" i="13"/>
  <c r="D6" i="6"/>
  <c r="D20" i="6"/>
  <c r="D8" i="6"/>
  <c r="D21" i="6"/>
  <c r="D19" i="6"/>
  <c r="D16" i="6"/>
  <c r="D12" i="6"/>
  <c r="D14" i="6"/>
  <c r="D9" i="6"/>
  <c r="D13" i="6"/>
  <c r="D18" i="6"/>
  <c r="D17" i="6"/>
  <c r="D11" i="6"/>
  <c r="D10" i="6"/>
  <c r="D15" i="6"/>
  <c r="D34" i="13" l="1"/>
  <c r="E34" i="13"/>
  <c r="M34" i="13"/>
  <c r="L34" i="13"/>
  <c r="V34" i="13"/>
  <c r="Q34" i="13"/>
  <c r="J34" i="13"/>
  <c r="I34" i="13"/>
  <c r="F34" i="13"/>
  <c r="K34" i="13"/>
  <c r="P34" i="13"/>
  <c r="N34" i="13"/>
  <c r="R34" i="13"/>
  <c r="H34" i="13"/>
  <c r="G34" i="13"/>
  <c r="J6" i="6"/>
  <c r="L6" i="6"/>
  <c r="C2" i="13" l="1" a="1"/>
  <c r="C2" i="13" s="1"/>
  <c r="C3" i="13" l="1"/>
  <c r="C17" i="13"/>
  <c r="C12" i="13"/>
  <c r="C23" i="13"/>
  <c r="C21" i="13"/>
  <c r="C19" i="13"/>
  <c r="C5" i="13"/>
  <c r="C26" i="13"/>
  <c r="C10" i="13"/>
  <c r="C7" i="13"/>
  <c r="C9" i="13"/>
  <c r="C6" i="13"/>
  <c r="C15" i="13"/>
  <c r="C4" i="13"/>
  <c r="C27" i="13"/>
  <c r="C14" i="13"/>
  <c r="C29" i="13"/>
  <c r="C24" i="13"/>
  <c r="C16" i="13"/>
  <c r="C20" i="13"/>
  <c r="C13" i="13"/>
  <c r="C11" i="13"/>
  <c r="C25" i="13"/>
  <c r="C8" i="13"/>
  <c r="C18" i="13"/>
  <c r="C28" i="13"/>
  <c r="C30" i="13"/>
  <c r="C22" i="13"/>
  <c r="C31" i="13"/>
  <c r="AF25" i="6" l="1"/>
  <c r="AF18" i="6"/>
  <c r="AF15" i="6"/>
  <c r="AF16" i="6"/>
  <c r="AF9" i="6"/>
  <c r="AF8" i="6"/>
  <c r="AF17" i="6"/>
  <c r="AF19" i="6"/>
  <c r="AF24" i="6"/>
  <c r="AF20" i="6"/>
  <c r="AF13" i="6"/>
  <c r="AF11" i="6"/>
  <c r="AF21" i="6"/>
  <c r="AF12" i="6"/>
  <c r="AF10" i="6"/>
  <c r="AF22" i="6"/>
  <c r="AF14" i="6"/>
  <c r="AF7" i="6"/>
  <c r="AF6" i="6"/>
  <c r="K14" i="6"/>
  <c r="K18" i="6"/>
  <c r="K15" i="6"/>
  <c r="K16" i="6"/>
  <c r="K7" i="6"/>
  <c r="K9" i="6"/>
  <c r="K17" i="6"/>
  <c r="K12" i="6"/>
  <c r="K13" i="6"/>
  <c r="K19" i="6"/>
  <c r="K24" i="6"/>
  <c r="K22" i="6"/>
  <c r="K11" i="6"/>
  <c r="K21" i="6"/>
  <c r="K20" i="6"/>
  <c r="K8" i="6"/>
  <c r="K10" i="6"/>
  <c r="K6" i="6"/>
  <c r="T12" i="6" l="1"/>
  <c r="T6" i="6"/>
  <c r="T17" i="6"/>
  <c r="I17" i="6" s="1"/>
  <c r="C17" i="6" s="1"/>
  <c r="T18" i="6"/>
  <c r="I18" i="6" s="1"/>
  <c r="T21" i="6"/>
  <c r="I21" i="6" s="1"/>
  <c r="C21" i="6" s="1"/>
  <c r="T19" i="6"/>
  <c r="I19" i="6" s="1"/>
  <c r="T15" i="6"/>
  <c r="I15" i="6" s="1"/>
  <c r="T22" i="6"/>
  <c r="I22" i="6" s="1"/>
  <c r="C22" i="6" s="1"/>
  <c r="T7" i="6"/>
  <c r="I7" i="6" s="1"/>
  <c r="T14" i="6"/>
  <c r="I14" i="6" s="1"/>
  <c r="T16" i="6"/>
  <c r="I16" i="6" s="1"/>
  <c r="T13" i="6"/>
  <c r="I13" i="6" s="1"/>
  <c r="T20" i="6"/>
  <c r="I20" i="6" s="1"/>
  <c r="C20" i="6" s="1"/>
  <c r="T25" i="6"/>
  <c r="I25" i="6" s="1"/>
  <c r="T11" i="6"/>
  <c r="I11" i="6" s="1"/>
  <c r="T8" i="6"/>
  <c r="I8" i="6" s="1"/>
  <c r="T9" i="6"/>
  <c r="I9" i="6" s="1"/>
  <c r="T10" i="6"/>
  <c r="I10" i="6" s="1"/>
  <c r="T24" i="6"/>
  <c r="T28" i="6"/>
  <c r="I28" i="6" s="1"/>
  <c r="T27" i="6"/>
  <c r="I27" i="6" s="1"/>
  <c r="T26" i="6"/>
  <c r="I26" i="6" s="1"/>
  <c r="N11" i="6"/>
  <c r="N16" i="6"/>
  <c r="N20" i="6"/>
  <c r="N17" i="6"/>
  <c r="N12" i="6"/>
  <c r="N8" i="6"/>
  <c r="N18" i="6"/>
  <c r="N19" i="6"/>
  <c r="N10" i="6"/>
  <c r="N21" i="6"/>
  <c r="N6" i="6"/>
  <c r="N9" i="6"/>
  <c r="N22" i="6"/>
  <c r="N14" i="6"/>
  <c r="N13" i="6"/>
  <c r="C13" i="6" s="1"/>
  <c r="N7" i="6"/>
  <c r="N24" i="6"/>
  <c r="N15" i="6"/>
  <c r="C15" i="6" s="1"/>
  <c r="I12" i="6"/>
  <c r="I6" i="6"/>
  <c r="I24" i="6"/>
  <c r="H54" i="12"/>
  <c r="C2" i="12"/>
  <c r="AK6" i="6"/>
  <c r="Y13" i="6"/>
  <c r="Y12" i="6"/>
  <c r="Y14" i="6"/>
  <c r="Y20" i="6"/>
  <c r="Y11" i="6"/>
  <c r="M11" i="6" s="1"/>
  <c r="C11" i="6" s="1"/>
  <c r="Y24" i="6"/>
  <c r="M24" i="6"/>
  <c r="Y18" i="6"/>
  <c r="M18" i="6"/>
  <c r="Y8" i="6"/>
  <c r="M8" i="6"/>
  <c r="Y22" i="6"/>
  <c r="M22" i="6" s="1"/>
  <c r="Y7" i="6"/>
  <c r="M7" i="6"/>
  <c r="Y9" i="6"/>
  <c r="M9" i="6"/>
  <c r="Y21" i="6"/>
  <c r="M21" i="6"/>
  <c r="Y19" i="6"/>
  <c r="M19" i="6" s="1"/>
  <c r="C19" i="6" s="1"/>
  <c r="Y17" i="6"/>
  <c r="Y6" i="6"/>
  <c r="Y16" i="6"/>
  <c r="M16" i="6" s="1"/>
  <c r="C16" i="6" s="1"/>
  <c r="Y15" i="6"/>
  <c r="M15" i="6"/>
  <c r="Y10" i="6"/>
  <c r="M10" i="6"/>
  <c r="Y25" i="6"/>
  <c r="Y28" i="6"/>
  <c r="M28" i="6" s="1"/>
  <c r="C28" i="6" s="1"/>
  <c r="E28" i="6" s="1"/>
  <c r="Y26" i="6"/>
  <c r="M26" i="6"/>
  <c r="Y27" i="6"/>
  <c r="M27" i="6" s="1"/>
  <c r="M25" i="6"/>
  <c r="M17" i="6"/>
  <c r="M14" i="6"/>
  <c r="M20" i="6"/>
  <c r="M12" i="6"/>
  <c r="M13" i="6"/>
  <c r="M6" i="6"/>
  <c r="C25" i="6"/>
  <c r="I16" i="34" s="1"/>
  <c r="C26" i="6"/>
  <c r="E26" i="6" s="1"/>
  <c r="C10" i="6"/>
  <c r="E10" i="6" s="1"/>
  <c r="K9" i="34" s="1"/>
  <c r="C24" i="6"/>
  <c r="I15" i="34" s="1"/>
  <c r="C6" i="6"/>
  <c r="C7" i="6"/>
  <c r="I6" i="34" s="1"/>
  <c r="C18" i="6"/>
  <c r="P8" i="34" s="1"/>
  <c r="C14" i="6"/>
  <c r="I13" i="34" s="1"/>
  <c r="C9" i="6"/>
  <c r="E9" i="6" s="1"/>
  <c r="K8" i="34" s="1"/>
  <c r="C12" i="6"/>
  <c r="I11" i="34" s="1"/>
  <c r="C8" i="6"/>
  <c r="I7" i="34" s="1"/>
  <c r="E6" i="6"/>
  <c r="E6" i="34"/>
  <c r="C6" i="34"/>
  <c r="E8" i="6"/>
  <c r="K7" i="34" s="1"/>
  <c r="C27" i="6" l="1"/>
  <c r="E27" i="6" s="1"/>
  <c r="P11" i="34"/>
  <c r="E21" i="6"/>
  <c r="R11" i="34" s="1"/>
  <c r="I14" i="34"/>
  <c r="E15" i="6"/>
  <c r="K14" i="34" s="1"/>
  <c r="P6" i="34"/>
  <c r="E16" i="6"/>
  <c r="R6" i="34" s="1"/>
  <c r="P10" i="34"/>
  <c r="E20" i="6"/>
  <c r="R10" i="34" s="1"/>
  <c r="P7" i="34"/>
  <c r="E17" i="6"/>
  <c r="R7" i="34" s="1"/>
  <c r="I10" i="34"/>
  <c r="E11" i="6"/>
  <c r="K10" i="34" s="1"/>
  <c r="P12" i="34"/>
  <c r="E22" i="6"/>
  <c r="R12" i="34" s="1"/>
  <c r="I12" i="34"/>
  <c r="E13" i="6"/>
  <c r="K12" i="34" s="1"/>
  <c r="P9" i="34"/>
  <c r="E19" i="6"/>
  <c r="R9" i="34" s="1"/>
  <c r="I9" i="34"/>
  <c r="E18" i="6"/>
  <c r="R8" i="34" s="1"/>
  <c r="E14" i="6"/>
  <c r="K13" i="34" s="1"/>
  <c r="K6" i="34"/>
  <c r="E24" i="6"/>
  <c r="K15" i="34" s="1"/>
  <c r="I8" i="34"/>
  <c r="E12" i="6"/>
  <c r="K11" i="34" s="1"/>
</calcChain>
</file>

<file path=xl/sharedStrings.xml><?xml version="1.0" encoding="utf-8"?>
<sst xmlns="http://schemas.openxmlformats.org/spreadsheetml/2006/main" count="1044" uniqueCount="414">
  <si>
    <t>2023 Progress Report: Portfolio Benefit Assessment Tool</t>
  </si>
  <si>
    <t>Introduction</t>
  </si>
  <si>
    <t>During the final model runs for this report, portfolio 12 100% Renewable/Non-Emitting by 2023 was unable to solve. Therefore final data are not available for use in this tool. Because each portfolio included in this tool contributes to the indices generated, and draft portfolio 12 data were presented in the 12/12/2022 Stakeholder Meeting,  an empty placeholder spot remains for portfolio 12. It should be noted that draft portfolio 12 data are not comparable to final portfolio data because PSE adjusted the model to increase accuracy and correct for some errors identified in the draft model runs.</t>
  </si>
  <si>
    <t>Workbook Interaction</t>
  </si>
  <si>
    <t>Data input cells</t>
  </si>
  <si>
    <t>Calculated field</t>
  </si>
  <si>
    <t xml:space="preserve">CBI WEIGHTS: </t>
  </si>
  <si>
    <t xml:space="preserve">The CBIs in this workbook are evaluated equally by default. However, each CBI metric can be assigned a different weight in the CBI Calculator. As the weights change, the relative benefits may change as well and can be visualized in the Cost Benefit Chart. </t>
  </si>
  <si>
    <t>CBI Metric Descriptions</t>
  </si>
  <si>
    <t>Metric</t>
  </si>
  <si>
    <t>Unit</t>
  </si>
  <si>
    <t>CBI Indicator</t>
  </si>
  <si>
    <t>CBI Metric</t>
  </si>
  <si>
    <t>Desired Change In Metric</t>
  </si>
  <si>
    <t>Description</t>
  </si>
  <si>
    <t>GHG Emissions</t>
  </si>
  <si>
    <t>Short Tons</t>
  </si>
  <si>
    <t>Environmental</t>
  </si>
  <si>
    <t>Reduce greenhouse gas emissions</t>
  </si>
  <si>
    <t>Decrease</t>
  </si>
  <si>
    <r>
      <t>The total sum of greenhouse gas emissions (measured by CO</t>
    </r>
    <r>
      <rPr>
        <vertAlign val="subscript"/>
        <sz val="11"/>
        <color theme="1"/>
        <rFont val="Calibri"/>
        <family val="2"/>
        <scheme val="minor"/>
      </rPr>
      <t xml:space="preserve">2 </t>
    </r>
    <r>
      <rPr>
        <sz val="11"/>
        <color theme="1"/>
        <rFont val="Calibri"/>
        <family val="2"/>
        <scheme val="minor"/>
      </rPr>
      <t>emissions) produced by a given portfolio over the planning horizon.</t>
    </r>
  </si>
  <si>
    <r>
      <t>SO</t>
    </r>
    <r>
      <rPr>
        <vertAlign val="subscript"/>
        <sz val="11"/>
        <color theme="1"/>
        <rFont val="Calibri"/>
        <family val="2"/>
        <scheme val="minor"/>
      </rPr>
      <t>2</t>
    </r>
    <r>
      <rPr>
        <sz val="11"/>
        <color theme="1"/>
        <rFont val="Calibri"/>
        <family val="2"/>
        <scheme val="minor"/>
      </rPr>
      <t xml:space="preserve"> Emissions</t>
    </r>
  </si>
  <si>
    <t>Public Health</t>
  </si>
  <si>
    <t>Improved outdoor air quality</t>
  </si>
  <si>
    <t xml:space="preserve">The total sum of sulfur dioxide emissions produced by a given portfolio over the planning horizon. </t>
  </si>
  <si>
    <t>NOx Emissions</t>
  </si>
  <si>
    <t xml:space="preserve">The total sum of  nitrogen oxides emissions produced by a given portfolio over the planning horizon. </t>
  </si>
  <si>
    <t>PM Emissions</t>
  </si>
  <si>
    <t xml:space="preserve">The total sum of particulate matter emissions produced by a given portfolio over the planning horizon. </t>
  </si>
  <si>
    <t>Jobs</t>
  </si>
  <si>
    <t>Total</t>
  </si>
  <si>
    <t>Energy and Non-Energy Benefits, Reduction of Burdens</t>
  </si>
  <si>
    <t>Increase in quantity of jobs</t>
  </si>
  <si>
    <t>Increase</t>
  </si>
  <si>
    <t xml:space="preserve">The total number of jobs associated with each portfolio over the planning horizon. This number was developed by applying a technology-specific jobs/MW metric to the cumulative capacity built for each technology type analyzed in the 2021 IRP, then summing the number of jobs together. PSE developed the jobs/MW metric using data sourced from the U.S Energy and Employment Jobs Report released for 2022 (jobs by technology type), and the 2021 Early Release EIA Form 860 and Form 861 (capacity by technology type). </t>
  </si>
  <si>
    <t>Cost</t>
  </si>
  <si>
    <t>$, Millions</t>
  </si>
  <si>
    <t>Reduction of Risks</t>
  </si>
  <si>
    <t>Improved affordability of clean energy</t>
  </si>
  <si>
    <t xml:space="preserve">The net present value (NPV) of a given portfolio cost over the planning horizon. Note this metric is not carried through into an Index. Instead it is incorporated into the analysis as a stand alone parameter. </t>
  </si>
  <si>
    <t>DR Peak Capacity</t>
  </si>
  <si>
    <t>MW</t>
  </si>
  <si>
    <t>Energy Security and Resiliency</t>
  </si>
  <si>
    <t>Peak reduction in MW through DR</t>
  </si>
  <si>
    <t>The amount of peak demand ameliorated from implementing demand response (DR) programs by the end of the planning horizon. The cumulative capacity of DR programs for each portfolio is multiplied by the DR ELCC developed for the 2021 IRP (32%) to achieve the final number.</t>
  </si>
  <si>
    <t>DER  Solar Participation</t>
  </si>
  <si>
    <t>Total new participants</t>
  </si>
  <si>
    <t>Increased participation in EE, DER, and DR programs</t>
  </si>
  <si>
    <t xml:space="preserve">The total number of customers participating in solar distributed energy resources (DER) programs (i.e.. living in residences with rooftop solar panels) added over the planning horizon. This number was developed by applying a customers/MW metric to the cumulative capacity built for new DER Ground, Roof, and Solar PV resources by the end of the planning period. This customers/MW metric was calculated using EIA Form 861M. </t>
  </si>
  <si>
    <t>Energy Efficiency Added</t>
  </si>
  <si>
    <t>Total amount of energy efficiency added over the planning horizon. This is the sum of the cumulative new demand-side resources and DSM codes &amp; standards and solar PV built by the end of the planning period.</t>
  </si>
  <si>
    <t>Demand Response Participation</t>
  </si>
  <si>
    <t xml:space="preserve">Total number of residential costumers participating in demand response programs over the planning horizon. Data sourced from the Conservation Potential Assessment and Demand Response Assessment developed for the 2021 IRP by the Cadmus Group. </t>
  </si>
  <si>
    <t>DER Storage Participation</t>
  </si>
  <si>
    <t>Improved access to storage</t>
  </si>
  <si>
    <t xml:space="preserve">Total number of residential costumers participating in battery storage distributed energy resources (DER) programs added over the planning horizon. This number was developed by applying a customers/MW metric to the cumulative capacity built for new DER Storage resources by the end of the planning period. This customers/MW metric was calculated using EIA Form 861M. </t>
  </si>
  <si>
    <t>Portfolio ID</t>
  </si>
  <si>
    <t>Portfolio Name</t>
  </si>
  <si>
    <r>
      <t>Description</t>
    </r>
    <r>
      <rPr>
        <b/>
        <vertAlign val="superscript"/>
        <sz val="11"/>
        <color theme="0"/>
        <rFont val="Calibri"/>
        <family val="2"/>
        <scheme val="minor"/>
      </rPr>
      <t>1</t>
    </r>
  </si>
  <si>
    <t>Reference</t>
  </si>
  <si>
    <t>Least-cost, CETA compliant portfolio.</t>
  </si>
  <si>
    <t>DSM Bundle 10</t>
  </si>
  <si>
    <t>Increase conservation to 358 average megawatts (aMW) by 2045.</t>
  </si>
  <si>
    <t>DSM Bundle 7</t>
  </si>
  <si>
    <t>Increase conservation to 284 aMW by 2045</t>
  </si>
  <si>
    <t>DER Solar</t>
  </si>
  <si>
    <t>Add 30 megawatts (MW) per year of DER solar from 2026-2045.</t>
  </si>
  <si>
    <t>DER Batteries</t>
  </si>
  <si>
    <t>Add 25 MW per year of DER batteries from 2026-2031.</t>
  </si>
  <si>
    <t>MT Overbuild, PHES + All East Wind</t>
  </si>
  <si>
    <t xml:space="preserve">Overbuild Montana (MT) resources to maximize existing 750 MW of transmission. Resource additions account for existing Clearwater PPA (350 MW). Add 400 MW of eastern MT wind plus 200 MW of Montana pumped hydro energy storage (PHES) in 2026. </t>
  </si>
  <si>
    <t>MT Overbuild, PHES + East, Central Wind</t>
  </si>
  <si>
    <t xml:space="preserve">Overbuild MT resources to maximize existing 750 MW of transmission. Resource additions account for existing Clearwater PPA (350 MW). Add 200 MW of eastern MT wind, 200 MW of central MT wind, and 200 MW of MT PHES in 2026. </t>
  </si>
  <si>
    <t>PNW PHES</t>
  </si>
  <si>
    <t xml:space="preserve">Add 200 MW Pacific Northwest (PNW; either Washington or Oregon) PHES in 2026. </t>
  </si>
  <si>
    <t>Nuclear</t>
  </si>
  <si>
    <t>Add 250 MW of nuclear in 2032.</t>
  </si>
  <si>
    <t>Restricted Thermal</t>
  </si>
  <si>
    <t xml:space="preserve">Prohibit any thermal builds (combined cycle and peaker plants) before 2030. </t>
  </si>
  <si>
    <t>11 A1</t>
  </si>
  <si>
    <t>Least Diversified w/ Nuclear</t>
  </si>
  <si>
    <t>Combine the following portfolios, described above:
Portfolio 3: Increase conservation to 284 aMW by 2045
Portfolio 6: Add 400 MW MT east wind + 200 MW MT PHES in 2026
Portfolio 9: Add 250 MW of nuclear in 2032</t>
  </si>
  <si>
    <t>11 A2</t>
  </si>
  <si>
    <t>Diversified + PNW PHES</t>
  </si>
  <si>
    <t>Combination of the following Portfolios:
Portfolio 3: Increase conservation to 284 aMW by 2045
Portfolio 6: Add 400 MW MT east wind + 200 MW MT PHES in 2026
Portfolio 8: Add 200 MW PNW PHES in 2026
Portfolio 9: Add 250 MW of nuclear in 2032</t>
  </si>
  <si>
    <t>11 A3</t>
  </si>
  <si>
    <t>Diversified + DER Solar</t>
  </si>
  <si>
    <t>Combination of the following:
Portfolio 3: Increase conservation to 284 aMW by 2045
Portfolio 4: Add 30 MW/year of DER solar from 2026-2045
Portfolio 6: Add 400 MW MT east wind + 200 MW MT PHES in 2026
Portfolio 8: Add 200 MW PNW PHES in 2026
Portfolio 9: Add 250 MW of nuclear in 2032</t>
  </si>
  <si>
    <t>11 A4</t>
  </si>
  <si>
    <t>Diversified + DER Batteries</t>
  </si>
  <si>
    <t>Combination of the following Portfolios:
Portfolio 3: Increase conservation to 284 aMW by 2045
Portfolio 4: Add 30 MW/year of DER solar from 2026-2045
Portfolio 5: Add 25 MW/year of DER batteries from 2026-2031
Portfolio 6: Add 400 MW MT east wind + 200 MW MT PHES in 2026
Portfolio 8: Add 200 MW PNW PHES in 2026
Portfolio 9: Add 250 MW of nuclear in 2032</t>
  </si>
  <si>
    <t>11 A5</t>
  </si>
  <si>
    <t>Diversified + All DR Programs</t>
  </si>
  <si>
    <t>Combination of the following Portfolios (similar to 11 B2):
Portfolio 3: Increase conservation to 284 aMW by 2045
Portfolio 4: Add 30 MW/year of DER solar from 2026-2045
Portfolio 5: Add 25 MW/year of DER batteries from 2026-2031
Portfolio 6: Add 400 MW MT east wind + 200 MW MT PHES in 2026
Portfolio 8: Add 200 MW PNW PHES in 2026
Portfolio 9: Add 250 MW of nuclear in 2032
Add all DR programs</t>
  </si>
  <si>
    <t>11 B1</t>
  </si>
  <si>
    <t>Least Diversified w/o Nuclear</t>
  </si>
  <si>
    <t>Combination of the following Portfolios (similar to 11 A1):
Portfolio 3: Increase conservation to 284 aMW by 2045
Portfolio 6: Add 400 MW MT east wind + 200 MW MT PHES in 2026</t>
  </si>
  <si>
    <t>11 B2</t>
  </si>
  <si>
    <t>Most Diversified w/o Nuclear</t>
  </si>
  <si>
    <t>Combination of the following Portfolios (similar to 11 A5):
Portfolio 3: Increase conservation to 284 aMW by 2045
Portfolio 4: Add 30 MW/year of DER solar from 2026-2045
Portfolio 5: Add 25 MW/year of DER batteries from 2026-2031
Portfolio 6: Add 400 MW MT east wind + 200 MW MT PHES in 2026
Portfolio 8: Add 200 MW PNW PHES in 2026
Add all DR programs</t>
  </si>
  <si>
    <t>100% Renewable/Non-Emitting by 2030</t>
  </si>
  <si>
    <t>Retire all existing thermal plants by 2030 and restrict thermal builds entirely. 
NOTE: Final data are not available for this portfolio because the model failed to solve. Though draft data were presented in the 12/12/2022 Stakeholder Meeting for this portfolio, the adjustments PSE made for the final model runs (aimed to increase result accuracy), precluded this portfolio from solving. Draft Portfolio 12 data are not comparable to final portfolio data, and therefore no data for this portfolio are presented.</t>
  </si>
  <si>
    <t>High Carbon Price</t>
  </si>
  <si>
    <t xml:space="preserve">Electric price forecast altered to use the Climate Commitment Act (CCA) ceiling price instead of the CCA mid price. </t>
  </si>
  <si>
    <r>
      <t>No H</t>
    </r>
    <r>
      <rPr>
        <vertAlign val="subscript"/>
        <sz val="11"/>
        <color theme="1"/>
        <rFont val="Calibri"/>
        <family val="2"/>
        <scheme val="minor"/>
      </rPr>
      <t>2</t>
    </r>
    <r>
      <rPr>
        <sz val="11"/>
        <color theme="1"/>
        <rFont val="Calibri"/>
        <family val="2"/>
        <scheme val="minor"/>
      </rPr>
      <t xml:space="preserve"> Fuel</t>
    </r>
  </si>
  <si>
    <t xml:space="preserve">Remove hydrogen fuel from peaking plant fuel options. </t>
  </si>
  <si>
    <t>Notes</t>
  </si>
  <si>
    <t>Data Sources</t>
  </si>
  <si>
    <t>Source</t>
  </si>
  <si>
    <t>Link</t>
  </si>
  <si>
    <t>2023 EPR (Electric Progress Report) Generic Resource Alternatives</t>
  </si>
  <si>
    <t>2023 EPR Appendix D</t>
  </si>
  <si>
    <t>CADMUS Group, Conservation Potential Assessment and Demand Response Assessment</t>
  </si>
  <si>
    <t>2023 EPR Appendix E</t>
  </si>
  <si>
    <t>EIA (U.S Energy Information Administration), September 22, 2022 Release, Form 860</t>
  </si>
  <si>
    <t>Form EIA-860 detailed data with previous form data (EIA-860A/860B)</t>
  </si>
  <si>
    <t>EIA 2022 Form 861, October 6, 2022 Release</t>
  </si>
  <si>
    <t>Annual Electric Power Industry Report, Form EIA-861 detailed data files</t>
  </si>
  <si>
    <t>EIA 2022 Form 861M Net Metering Data</t>
  </si>
  <si>
    <t>Form EIA-861M (formerly EIA-826) detailed data</t>
  </si>
  <si>
    <t>USEER (U.S. Energy &amp; Employment Jobs Report), 2022 - Employment by Technology</t>
  </si>
  <si>
    <t>USEER 2022 National Report (energy.gov)</t>
  </si>
  <si>
    <t>Summary</t>
  </si>
  <si>
    <t>CBI Indices</t>
  </si>
  <si>
    <t>Raw Indices</t>
  </si>
  <si>
    <t>AURORA Metrics</t>
  </si>
  <si>
    <t xml:space="preserve">Total: </t>
  </si>
  <si>
    <t>CBI WEIGHT:</t>
  </si>
  <si>
    <t>Portfolios</t>
  </si>
  <si>
    <t>Average Index</t>
  </si>
  <si>
    <t>Change in Portfolio Cost
($, Billions)</t>
  </si>
  <si>
    <t xml:space="preserve">GHG Emissions </t>
  </si>
  <si>
    <t>SO2, Nox, PM Emissions</t>
  </si>
  <si>
    <t xml:space="preserve">Jobs </t>
  </si>
  <si>
    <t xml:space="preserve">DR Peak Capacity </t>
  </si>
  <si>
    <t xml:space="preserve">DER  Solar Participation </t>
  </si>
  <si>
    <t xml:space="preserve">Energy Efficiency Added </t>
  </si>
  <si>
    <t>DR Participation</t>
  </si>
  <si>
    <t xml:space="preserve">DER Storage Participation </t>
  </si>
  <si>
    <t xml:space="preserve">SO2 Emissions </t>
  </si>
  <si>
    <t xml:space="preserve">NOx Emissions </t>
  </si>
  <si>
    <t xml:space="preserve">PM Emissions </t>
  </si>
  <si>
    <t xml:space="preserve">Cost </t>
  </si>
  <si>
    <t>GHG Emissions 
(Short Tons)</t>
  </si>
  <si>
    <t>SO2 Emissions 
(Short Tons)</t>
  </si>
  <si>
    <t>NOx Emissions 
(Short Tons)</t>
  </si>
  <si>
    <t>PM Emissions 
(Short Tons)</t>
  </si>
  <si>
    <t>Jobs 
(Total)</t>
  </si>
  <si>
    <t>Cost 
($, Billions)</t>
  </si>
  <si>
    <t>DR Peak Capacity 
(MW)</t>
  </si>
  <si>
    <t>DER  Solar Participation 
(Total New Participants)</t>
  </si>
  <si>
    <t>Energy Efficiency Added 
(MW)</t>
  </si>
  <si>
    <t>DR Participation 
(Total New Participants)</t>
  </si>
  <si>
    <t>DER Storage Participation 
(Total New Participants)</t>
  </si>
  <si>
    <t>--</t>
  </si>
  <si>
    <t>Reference Portfolio</t>
  </si>
  <si>
    <t>Other Portfolios</t>
  </si>
  <si>
    <t>Diversified Portfolios</t>
  </si>
  <si>
    <t>Portfolio</t>
  </si>
  <si>
    <t>CBI Index</t>
  </si>
  <si>
    <t>Total Cost</t>
  </si>
  <si>
    <t>Point Size</t>
  </si>
  <si>
    <t>Manually enter portfolio name and ID; all portfolio data is copy/pasted from from Output File, "CBI_Metrics" sheet</t>
  </si>
  <si>
    <t>Automatically updated</t>
  </si>
  <si>
    <t>Portfolio Name -&gt;</t>
  </si>
  <si>
    <r>
      <t>No H</t>
    </r>
    <r>
      <rPr>
        <vertAlign val="subscript"/>
        <sz val="11"/>
        <rFont val="Calibri"/>
        <family val="2"/>
        <scheme val="minor"/>
      </rPr>
      <t>2</t>
    </r>
    <r>
      <rPr>
        <sz val="11"/>
        <rFont val="Calibri"/>
        <family val="2"/>
        <scheme val="minor"/>
      </rPr>
      <t xml:space="preserve"> Fuel</t>
    </r>
  </si>
  <si>
    <t>Portfolio ID -&gt;</t>
  </si>
  <si>
    <t>Portfolio Cost - Total</t>
  </si>
  <si>
    <t>22-yr Total cost of the portfolio, NPV $000</t>
  </si>
  <si>
    <t>Portfolio Cost - Direct</t>
  </si>
  <si>
    <t>22-yr Direct cost of the portfolio, no SCGHG, NPV $000</t>
  </si>
  <si>
    <t>Portfolio Cost - Externatilities</t>
  </si>
  <si>
    <t>22-yr SCGHG of the portfolio, NPV $000</t>
  </si>
  <si>
    <t>Emissions - CO2</t>
  </si>
  <si>
    <t>Sum of all CO2 emissions over planning period, short tons</t>
  </si>
  <si>
    <t>Emissions - SO2</t>
  </si>
  <si>
    <t>Sum of all SO2 emissions over planning period, short tons</t>
  </si>
  <si>
    <t>Emissions - NOX</t>
  </si>
  <si>
    <t>Sum of all NOX emissions over planning period, short tons</t>
  </si>
  <si>
    <t>Emissions - PM</t>
  </si>
  <si>
    <t>Sum of all PM emissions over planning period, short tons</t>
  </si>
  <si>
    <t>New NG CCCT</t>
  </si>
  <si>
    <t>Cumulative Capacity of Additions by 2045</t>
  </si>
  <si>
    <t>New NG Frame Peaker</t>
  </si>
  <si>
    <t>New NG Recip Peaker</t>
  </si>
  <si>
    <t>New NG/H2 Blend Frame Peaker</t>
  </si>
  <si>
    <t>New NG/H2 Blend Recip Peaker</t>
  </si>
  <si>
    <t>New Biodiesel Frame Peaker</t>
  </si>
  <si>
    <t>New WA Wind</t>
  </si>
  <si>
    <t>New BC Wind</t>
  </si>
  <si>
    <t>New MT East Wind</t>
  </si>
  <si>
    <t>New MT Central Wind</t>
  </si>
  <si>
    <t>New ID Wind</t>
  </si>
  <si>
    <t>New WY East Wind</t>
  </si>
  <si>
    <t>New WY West Wind</t>
  </si>
  <si>
    <t>New Offshore Wind</t>
  </si>
  <si>
    <t>New WA East Solar</t>
  </si>
  <si>
    <t>New WA West Solar</t>
  </si>
  <si>
    <t>New ID Solar</t>
  </si>
  <si>
    <t>New WY East Solar</t>
  </si>
  <si>
    <t>New WY West Solar</t>
  </si>
  <si>
    <t>New Greendirect Wind</t>
  </si>
  <si>
    <t>New Greendirect Solar</t>
  </si>
  <si>
    <t>New LiIon2hr</t>
  </si>
  <si>
    <t>New LiIon4hr</t>
  </si>
  <si>
    <t>New LiIon6hr</t>
  </si>
  <si>
    <t>New MT PHES</t>
  </si>
  <si>
    <t>New WA OR PHES</t>
  </si>
  <si>
    <t>New DER Storage</t>
  </si>
  <si>
    <t>New Hybrid Wind Storage</t>
  </si>
  <si>
    <t>New Hybrid Solar Storage</t>
  </si>
  <si>
    <t>New Hybrid Solar Wind Storage</t>
  </si>
  <si>
    <t>New Biomass</t>
  </si>
  <si>
    <t>New Nuclear</t>
  </si>
  <si>
    <t>New PPA</t>
  </si>
  <si>
    <t>New DER Solar Ground</t>
  </si>
  <si>
    <t>New DER Solar Rooftop</t>
  </si>
  <si>
    <t>New PSE DER Solar</t>
  </si>
  <si>
    <t>New PSE DER Storage</t>
  </si>
  <si>
    <t>New Demand response</t>
  </si>
  <si>
    <t>New DSM DE</t>
  </si>
  <si>
    <t>New DSM C&amp;S</t>
  </si>
  <si>
    <t>New DSM PV</t>
  </si>
  <si>
    <t>New DSM Conservation</t>
  </si>
  <si>
    <t>CEIP Solar</t>
  </si>
  <si>
    <t>CEIP Battery</t>
  </si>
  <si>
    <t>DR1</t>
  </si>
  <si>
    <t>Residential ERWH DLC Switch</t>
  </si>
  <si>
    <t>DR2</t>
  </si>
  <si>
    <t>Residential ERWH DLC Grid-Enabled</t>
  </si>
  <si>
    <t>DR3</t>
  </si>
  <si>
    <t>Residential HPWH DLC Switch</t>
  </si>
  <si>
    <t>DR4</t>
  </si>
  <si>
    <t>Residential HPWH DLC Grid-Enabled</t>
  </si>
  <si>
    <t>DR5</t>
  </si>
  <si>
    <t>Medium Commercial HVAC DLC Switch</t>
  </si>
  <si>
    <t>DR6</t>
  </si>
  <si>
    <t>Small Commercial HVAC DLC Switch</t>
  </si>
  <si>
    <t>DR7</t>
  </si>
  <si>
    <t>Small Commercial BYOT</t>
  </si>
  <si>
    <t>DR8</t>
  </si>
  <si>
    <t>Residential BYOT</t>
  </si>
  <si>
    <t>DR9</t>
  </si>
  <si>
    <t>Residential EVSE DLC Switch</t>
  </si>
  <si>
    <t>DR10</t>
  </si>
  <si>
    <t>Residential HVAC DLC Switch</t>
  </si>
  <si>
    <t>DR11</t>
  </si>
  <si>
    <t>Commercial Curtailment</t>
  </si>
  <si>
    <t>DR12</t>
  </si>
  <si>
    <t>Industrial Curtailment</t>
  </si>
  <si>
    <t>DR13</t>
  </si>
  <si>
    <t>Residential CPP</t>
  </si>
  <si>
    <t>DR14</t>
  </si>
  <si>
    <t>Commercial CPP</t>
  </si>
  <si>
    <t>DR15</t>
  </si>
  <si>
    <t>Industrial CPP</t>
  </si>
  <si>
    <t>DR16</t>
  </si>
  <si>
    <t>Interruptible</t>
  </si>
  <si>
    <t>Millions of Short Tons</t>
  </si>
  <si>
    <t>2023 EPR Portfolio ID</t>
  </si>
  <si>
    <t>2032 EPR Portfolio Name</t>
  </si>
  <si>
    <t>CO2</t>
  </si>
  <si>
    <t>SO2</t>
  </si>
  <si>
    <t>NOX</t>
  </si>
  <si>
    <t>PM</t>
  </si>
  <si>
    <t>2023 EPR Portfolio Name</t>
  </si>
  <si>
    <t>AURORA Output ($1000)</t>
  </si>
  <si>
    <t>NPV 22-yr Portfolio Cost ($)</t>
  </si>
  <si>
    <t>Multiplier</t>
  </si>
  <si>
    <t>Total Jobs Added</t>
  </si>
  <si>
    <t>New Builds</t>
  </si>
  <si>
    <t>Jobs Added by Technology (Jobs per MW)</t>
  </si>
  <si>
    <t>Jobs Added (Total) - Jobs by Tech x Cumulative Capacity</t>
  </si>
  <si>
    <t>DR Peak Capacity (MW)</t>
  </si>
  <si>
    <t>2023 EPR Demand Response ELCC:</t>
  </si>
  <si>
    <t xml:space="preserve">All DR programs modeled are 4-hours. </t>
  </si>
  <si>
    <t xml:space="preserve">Total </t>
  </si>
  <si>
    <t>DER Solar Participation (Number of Customers)</t>
  </si>
  <si>
    <t>DER Storage Participation (Number of Customers)</t>
  </si>
  <si>
    <t>EE Added (MW)</t>
  </si>
  <si>
    <t>2021 IRP Portfolio ID</t>
  </si>
  <si>
    <t>2021 IRP Portfolio Name</t>
  </si>
  <si>
    <t>Total DR Participation (Number of Customers)</t>
  </si>
  <si>
    <t>Demand Response Participation by Program (Draft CADMUST 2022 CPA)</t>
  </si>
  <si>
    <t>Conversion Factor (MW -&gt; kW)</t>
  </si>
  <si>
    <r>
      <t>Selection by Portfolio</t>
    </r>
    <r>
      <rPr>
        <b/>
        <vertAlign val="superscript"/>
        <sz val="11"/>
        <color theme="1"/>
        <rFont val="Calibri"/>
        <family val="2"/>
        <scheme val="minor"/>
      </rPr>
      <t>3</t>
    </r>
  </si>
  <si>
    <t>Program</t>
  </si>
  <si>
    <t>Product Option</t>
  </si>
  <si>
    <t>Winter Achievable Potential (MW)</t>
  </si>
  <si>
    <t>KW/participant (CADMUS 2022)</t>
  </si>
  <si>
    <t>Expected program participation (CADMUS 2022)</t>
  </si>
  <si>
    <t>Total PSE Customers, EIA Form 861, 2021</t>
  </si>
  <si>
    <r>
      <t>Participants (Winter)</t>
    </r>
    <r>
      <rPr>
        <b/>
        <vertAlign val="superscript"/>
        <sz val="11"/>
        <color theme="0"/>
        <rFont val="Calibri"/>
        <family val="2"/>
        <scheme val="minor"/>
      </rPr>
      <t>1, 2</t>
    </r>
  </si>
  <si>
    <t>Residential DLC Water Heat</t>
  </si>
  <si>
    <t>Commercial DLC HVAC</t>
  </si>
  <si>
    <t>Residential DLC HVAC</t>
  </si>
  <si>
    <t>Residential DLC EVSE</t>
  </si>
  <si>
    <t>C&amp;I Curtailment</t>
  </si>
  <si>
    <t>TOTAL</t>
  </si>
  <si>
    <t>1. CADMUS’ analysis focused on programs aimed at reducing PSE’s winter peak demand</t>
  </si>
  <si>
    <t xml:space="preserve">2. For programs with no calculated kW/participant, the number of participants expected in the program is sourced from applying the expected number of participants to the total number of PSE customers. </t>
  </si>
  <si>
    <t xml:space="preserve">3. Current calculation assumes any DR program opportunity will be filled with a new customer, likely over stating the number of customers who participate in *any* DR program. </t>
  </si>
  <si>
    <t>Jobs per Megawatt (MW) Metric Development</t>
  </si>
  <si>
    <t>Data Sources:</t>
  </si>
  <si>
    <t>2021 Early Release EIA Form 860 and 2020 Form 861</t>
  </si>
  <si>
    <t>2020 Form 861</t>
  </si>
  <si>
    <t>USEER 2022 - Employment by Technology</t>
  </si>
  <si>
    <t>2021 IRP New Resources (Generic) Technologies</t>
  </si>
  <si>
    <t>Notes:</t>
  </si>
  <si>
    <t>Total National Capacity by Technology, 2021</t>
  </si>
  <si>
    <t>Total National Employment by Technology, 2021</t>
  </si>
  <si>
    <t>Create Jobs/MW Metric</t>
  </si>
  <si>
    <t xml:space="preserve">Assign Jobs/MW Metric to Each New Resource </t>
  </si>
  <si>
    <t>Technology</t>
  </si>
  <si>
    <t>Sum Nameplate Capacity 
(MW)</t>
  </si>
  <si>
    <t>Map
(For Aligning with Job Catagories)</t>
  </si>
  <si>
    <r>
      <t>Technology</t>
    </r>
    <r>
      <rPr>
        <b/>
        <vertAlign val="superscript"/>
        <sz val="11"/>
        <color theme="0"/>
        <rFont val="Calibri"/>
        <family val="2"/>
        <scheme val="minor"/>
      </rPr>
      <t>1,2,3</t>
    </r>
  </si>
  <si>
    <t>2021 Jobs</t>
  </si>
  <si>
    <t>2021 Nameplate Capacity (MW)</t>
  </si>
  <si>
    <t>Jobs/MW</t>
  </si>
  <si>
    <t>2023 EPR New Resources</t>
  </si>
  <si>
    <t>Map 
(For Assigning Job/MW Metric)</t>
  </si>
  <si>
    <t>All Other</t>
  </si>
  <si>
    <t>Other</t>
  </si>
  <si>
    <t xml:space="preserve">Solar </t>
  </si>
  <si>
    <t>Natural Gas</t>
  </si>
  <si>
    <t>Batteries</t>
  </si>
  <si>
    <t>Battery</t>
  </si>
  <si>
    <t>Wind</t>
  </si>
  <si>
    <t>Coal Integrated Gasification Combined Cycle</t>
  </si>
  <si>
    <t>Coal</t>
  </si>
  <si>
    <t>Conventional Hydroelectric</t>
  </si>
  <si>
    <t>Hydro</t>
  </si>
  <si>
    <t>Conventional Steam Coal</t>
  </si>
  <si>
    <t>Flywheels</t>
  </si>
  <si>
    <t>Geothermal</t>
  </si>
  <si>
    <t>CHP</t>
  </si>
  <si>
    <t>Hydroelectric Pumped Storage</t>
  </si>
  <si>
    <t>Pumped Hydro</t>
  </si>
  <si>
    <t>Bioenergy</t>
  </si>
  <si>
    <t>Landfill Gas</t>
  </si>
  <si>
    <t>Municipal Solid Waste</t>
  </si>
  <si>
    <t>Oil</t>
  </si>
  <si>
    <t>Natural Gas Fired Combined Cycle</t>
  </si>
  <si>
    <t>Natural Gas Fired Combustion Turbine</t>
  </si>
  <si>
    <t>Natural Gas Internal Combustion Engine</t>
  </si>
  <si>
    <t>Natural Gas Steam Turbine</t>
  </si>
  <si>
    <t>Energy Efficiency</t>
  </si>
  <si>
    <t>Natural Gas with Compressed Air Storage</t>
  </si>
  <si>
    <t>1. Consolidated "Advanced Natural Gas" and "Natural Gas" catagories into a single catagory</t>
  </si>
  <si>
    <t>Offshore Wind Turbine</t>
  </si>
  <si>
    <t>2. Consolidated "Traditional Hydro" and "Low Impact Hydro" into single catagory</t>
  </si>
  <si>
    <t>Onshore Wind Turbine</t>
  </si>
  <si>
    <t>3. Energy Efficency includes Demand Response (DR) as well</t>
  </si>
  <si>
    <t>Other Gases</t>
  </si>
  <si>
    <t>Other Natural Gas</t>
  </si>
  <si>
    <t>Other Waste Biomass</t>
  </si>
  <si>
    <t>Petroleum Coke</t>
  </si>
  <si>
    <t>Petroleum Liquids</t>
  </si>
  <si>
    <t>Solar Photovoltaic</t>
  </si>
  <si>
    <t>Solar Thermal with Energy Storage</t>
  </si>
  <si>
    <t>pumped hydro</t>
  </si>
  <si>
    <t>Solar Thermal without Energy Storage</t>
  </si>
  <si>
    <t>Wood/Wood Waste Biomass</t>
  </si>
  <si>
    <r>
      <t>Energy Efficiency</t>
    </r>
    <r>
      <rPr>
        <vertAlign val="superscript"/>
        <sz val="11"/>
        <color theme="1"/>
        <rFont val="Calibri"/>
        <family val="2"/>
        <scheme val="minor"/>
      </rPr>
      <t>1</t>
    </r>
  </si>
  <si>
    <t>wind</t>
  </si>
  <si>
    <r>
      <t>Demand Response</t>
    </r>
    <r>
      <rPr>
        <vertAlign val="superscript"/>
        <sz val="11"/>
        <color theme="1"/>
        <rFont val="Calibri"/>
        <family val="2"/>
        <scheme val="minor"/>
      </rPr>
      <t>1</t>
    </r>
  </si>
  <si>
    <t>1. From EIA 861, 2020</t>
  </si>
  <si>
    <t>bioenergy</t>
  </si>
  <si>
    <t>nuclear</t>
  </si>
  <si>
    <t>Form EIA-861M Net Metering Data</t>
  </si>
  <si>
    <t xml:space="preserve">June 2022 data, released  August 29, 2022 </t>
  </si>
  <si>
    <t>Utility Level Data - States</t>
  </si>
  <si>
    <t>Utility Characteristics</t>
  </si>
  <si>
    <t>Photovoltaic</t>
  </si>
  <si>
    <t>All Technologies</t>
  </si>
  <si>
    <t/>
  </si>
  <si>
    <t>Capacity MW</t>
  </si>
  <si>
    <t>Customers</t>
  </si>
  <si>
    <t>Storage Capacity (MW)</t>
  </si>
  <si>
    <t>Storage Customers</t>
  </si>
  <si>
    <t>Virtual Capacity (MW)</t>
  </si>
  <si>
    <t>Virtual Customers</t>
  </si>
  <si>
    <t>Energy Sold Back MWh</t>
  </si>
  <si>
    <t>Year</t>
  </si>
  <si>
    <t>Month</t>
  </si>
  <si>
    <t>State</t>
  </si>
  <si>
    <t>Utility Number</t>
  </si>
  <si>
    <t>Utility Name</t>
  </si>
  <si>
    <t>Data Status</t>
  </si>
  <si>
    <t>Type</t>
  </si>
  <si>
    <t>Residential</t>
  </si>
  <si>
    <t>Commercial</t>
  </si>
  <si>
    <t>Industrial</t>
  </si>
  <si>
    <t>Transportation</t>
  </si>
  <si>
    <t>WA</t>
  </si>
  <si>
    <t>Puget Sound Energy Inc</t>
  </si>
  <si>
    <t>Preliminary</t>
  </si>
  <si>
    <t>AC</t>
  </si>
  <si>
    <t>.</t>
  </si>
  <si>
    <t xml:space="preserve">Average: </t>
  </si>
  <si>
    <t>Participants / MW Summary</t>
  </si>
  <si>
    <t>All</t>
  </si>
  <si>
    <t>PV</t>
  </si>
  <si>
    <t>&lt;- Used for DER Solar Participation</t>
  </si>
  <si>
    <t>&lt;- Used for DER Storage Participation</t>
  </si>
  <si>
    <t>Efficiency Measure (CBI/$)</t>
  </si>
  <si>
    <t xml:space="preserve"> (All CBIs Equally Weighted in 2023 EPR) ==&gt;</t>
  </si>
  <si>
    <t xml:space="preserve">This workbook provides a tool to measures potential equity-related benefits to customers within the different portfolio options modeled in the 2023 Electric Progress Report (2023 EPR). The tool uses raw AURORA output to measure select Customer Benefit Indicators (CBIs). CBIs are quantitative and qualitative attributes we developed for the 2021 CEIP in collaboration with our Equity Advisory Group and stakeholders. These CBIs represent some of the focus areas in CETA related to equity, including energy and non-energy benefits, resiliency, environment, and public health. This tool converts select, quantitative CBIs into indices, allowing PSE staff and stakeholders to assess the potential of each portfolio to enable more equitable outcomes for customers in the future. </t>
  </si>
  <si>
    <t>Sensitivity Portfolio Descriptions</t>
  </si>
  <si>
    <t xml:space="preserve">1. All other sensitivity portfolios analyzed in this 2023 EPR use the Reference portfolio (Portfolio 1) as a baseline. This field describes the changes made to this baseline. Chapter 8 of this 2023 EPR presents further details and results of these sensitivities. </t>
  </si>
  <si>
    <r>
      <t>The '</t>
    </r>
    <r>
      <rPr>
        <b/>
        <sz val="11"/>
        <color theme="1"/>
        <rFont val="Calibri"/>
        <family val="2"/>
        <scheme val="minor"/>
      </rPr>
      <t>Plot_CBI_Index_and_Cost</t>
    </r>
    <r>
      <rPr>
        <sz val="11"/>
        <color theme="1"/>
        <rFont val="Calibri"/>
        <family val="2"/>
        <scheme val="minor"/>
      </rPr>
      <t xml:space="preserve">' sheet provides a summary of the results of the tool. Portfolios which are plotted further to the right achieve greater CBI impact. Portfolios which are plotted lower are less costly. Therefore, the most desirable portfolios will be found in the lower, right area of the chart. </t>
    </r>
  </si>
  <si>
    <r>
      <t>This '</t>
    </r>
    <r>
      <rPr>
        <b/>
        <sz val="11"/>
        <color theme="1"/>
        <rFont val="Calibri"/>
        <family val="2"/>
        <scheme val="minor"/>
      </rPr>
      <t>ReadMe</t>
    </r>
    <r>
      <rPr>
        <sz val="11"/>
        <color theme="1"/>
        <rFont val="Calibri"/>
        <family val="2"/>
        <scheme val="minor"/>
      </rPr>
      <t xml:space="preserve">' provides the following information:
 - A description of the interactive elements in this workbook (Row 12)
 - A description of each CBI metric evaluated in this workbook (Row 19)
 - A brief description of the sensitivity portfolios included in this analysis (Row 34)
 - A list of data sources used in this analysis (Row 59)
</t>
    </r>
  </si>
  <si>
    <r>
      <t>The indices for each CBI metric are a modified z-score, where the Reference (least-cost, CETA compliant) portfolio is set to equal 0, and the standard deviation of each individual metric is calculated using data from all portfolios evaluated during a resource planning cycle. A positive index indicates the CBI metric is relatively better than the Reference portfolio, while a negative index indicates the CBI is worse than the Reference portfolio. The magnitude of the index specifies how much better or worse an individual CBI metric is relative to the base portfolio CBI metric. AURORA output data is loaded into the 'Aurora_Output' tab, and initial calculations and/or data transformations are performed in the respective 'Updated_Automatically' tabs. This data is then consolidated and converted to indices in the '</t>
    </r>
    <r>
      <rPr>
        <b/>
        <sz val="11"/>
        <color theme="1"/>
        <rFont val="Calibri"/>
        <family val="2"/>
        <scheme val="minor"/>
      </rPr>
      <t>Calculator</t>
    </r>
    <r>
      <rPr>
        <sz val="11"/>
        <color theme="1"/>
        <rFont val="Calibri"/>
        <family val="2"/>
        <scheme val="minor"/>
      </rPr>
      <t xml:space="preserve">' tab.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</si>
</sst>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_(* #,##0_);_(* \(#,##0\);_(* &quot;-&quot;??_);_(@_)"/>
    <numFmt numFmtId="165" formatCode="0.0"/>
    <numFmt numFmtId="166" formatCode="_(* #,##0.0_);_(* \(#,##0.0\);_(* &quot;-&quot;??_);_(@_)"/>
    <numFmt numFmtId="167" formatCode="#,##0.000"/>
  </numFmts>
  <fonts count="39"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font>
    <font>
      <b/>
      <sz val="11"/>
      <color theme="1"/>
      <name val="Calibri"/>
      <family val="2"/>
    </font>
    <font>
      <u/>
      <sz val="11"/>
      <color theme="10"/>
      <name val="Calibri"/>
      <family val="2"/>
      <scheme val="minor"/>
    </font>
    <font>
      <sz val="11"/>
      <color theme="1"/>
      <name val="Arial"/>
      <family val="2"/>
    </font>
    <font>
      <sz val="10"/>
      <name val="Arial"/>
      <family val="2"/>
    </font>
    <font>
      <b/>
      <sz val="13"/>
      <color theme="3"/>
      <name val="Calibri"/>
      <family val="2"/>
      <scheme val="minor"/>
    </font>
    <font>
      <sz val="11"/>
      <name val="Calibri"/>
      <family val="2"/>
      <scheme val="minor"/>
    </font>
    <font>
      <sz val="11"/>
      <color rgb="FFFF0000"/>
      <name val="Calibri"/>
      <family val="2"/>
      <scheme val="minor"/>
    </font>
    <font>
      <i/>
      <sz val="11"/>
      <color theme="1"/>
      <name val="Calibri"/>
      <family val="2"/>
      <scheme val="minor"/>
    </font>
    <font>
      <b/>
      <sz val="18"/>
      <color theme="1"/>
      <name val="Calibri"/>
      <family val="2"/>
      <scheme val="minor"/>
    </font>
    <font>
      <b/>
      <sz val="11"/>
      <name val="Calibri"/>
      <family val="2"/>
      <scheme val="minor"/>
    </font>
    <font>
      <b/>
      <i/>
      <sz val="11"/>
      <color theme="1"/>
      <name val="Calibri"/>
      <family val="2"/>
      <scheme val="minor"/>
    </font>
    <font>
      <b/>
      <sz val="11"/>
      <color theme="0"/>
      <name val="Calibri"/>
      <family val="2"/>
      <scheme val="minor"/>
    </font>
    <font>
      <vertAlign val="subscript"/>
      <sz val="11"/>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20"/>
      <color rgb="FFFF0000"/>
      <name val="Calibri"/>
      <family val="2"/>
      <scheme val="minor"/>
    </font>
    <font>
      <b/>
      <sz val="13"/>
      <name val="Calibri"/>
      <family val="2"/>
      <scheme val="minor"/>
    </font>
    <font>
      <b/>
      <vertAlign val="superscript"/>
      <sz val="11"/>
      <color theme="0"/>
      <name val="Calibri"/>
      <family val="2"/>
      <scheme val="minor"/>
    </font>
    <font>
      <b/>
      <vertAlign val="superscript"/>
      <sz val="11"/>
      <color theme="1"/>
      <name val="Calibri"/>
      <family val="2"/>
      <scheme val="minor"/>
    </font>
    <font>
      <b/>
      <sz val="11"/>
      <color indexed="8"/>
      <name val="Calibri"/>
      <family val="2"/>
      <scheme val="minor"/>
    </font>
    <font>
      <sz val="11"/>
      <color indexed="8"/>
      <name val="Calibri"/>
      <family val="2"/>
      <scheme val="minor"/>
    </font>
    <font>
      <b/>
      <sz val="12"/>
      <name val="Calibri"/>
      <family val="2"/>
      <scheme val="minor"/>
    </font>
    <font>
      <sz val="11"/>
      <color indexed="30"/>
      <name val="Arial"/>
      <family val="2"/>
    </font>
    <font>
      <vertAlign val="superscript"/>
      <sz val="11"/>
      <color theme="1"/>
      <name val="Calibri"/>
      <family val="2"/>
      <scheme val="minor"/>
    </font>
    <font>
      <sz val="9"/>
      <color theme="1"/>
      <name val="Calibri"/>
      <family val="2"/>
      <scheme val="minor"/>
    </font>
    <font>
      <sz val="16"/>
      <color theme="1"/>
      <name val="Calibri"/>
      <family val="2"/>
      <scheme val="minor"/>
    </font>
    <font>
      <u/>
      <sz val="9"/>
      <color theme="10"/>
      <name val="Calibri"/>
      <family val="2"/>
      <scheme val="minor"/>
    </font>
    <font>
      <i/>
      <sz val="11"/>
      <color rgb="FF9CADB7"/>
      <name val="Calibri"/>
      <family val="2"/>
      <scheme val="minor"/>
    </font>
    <font>
      <sz val="9"/>
      <name val="Arial"/>
      <family val="2"/>
    </font>
    <font>
      <i/>
      <sz val="11"/>
      <name val="Calibri"/>
      <family val="2"/>
      <scheme val="minor"/>
    </font>
    <font>
      <vertAlign val="subscript"/>
      <sz val="11"/>
      <name val="Calibri"/>
      <family val="2"/>
      <scheme val="minor"/>
    </font>
    <font>
      <i/>
      <sz val="11"/>
      <color theme="0" tint="-0.499984740745262"/>
      <name val="Calibri"/>
      <family val="2"/>
      <scheme val="minor"/>
    </font>
    <font>
      <b/>
      <sz val="8"/>
      <color theme="1"/>
      <name val="Calibri"/>
      <family val="2"/>
      <scheme val="minor"/>
    </font>
    <font>
      <sz val="24"/>
      <color theme="1"/>
      <name val="Arial"/>
      <family val="2"/>
    </font>
  </fonts>
  <fills count="17">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59999389629810485"/>
        <bgColor indexed="65"/>
      </patternFill>
    </fill>
    <fill>
      <patternFill patternType="solid">
        <fgColor theme="9" tint="0.79998168889431442"/>
        <bgColor indexed="65"/>
      </patternFill>
    </fill>
    <fill>
      <patternFill patternType="solid">
        <fgColor theme="0" tint="-4.9989318521683403E-2"/>
        <bgColor indexed="64"/>
      </patternFill>
    </fill>
    <fill>
      <patternFill patternType="solid">
        <fgColor rgb="FF006671"/>
        <bgColor indexed="64"/>
      </patternFill>
    </fill>
    <fill>
      <patternFill patternType="solid">
        <fgColor rgb="FF58C3B4"/>
        <bgColor indexed="64"/>
      </patternFill>
    </fill>
    <fill>
      <patternFill patternType="solid">
        <fgColor rgb="FFC3E7E3"/>
        <bgColor indexed="64"/>
      </patternFill>
    </fill>
    <fill>
      <patternFill patternType="solid">
        <fgColor rgb="FF668B53"/>
        <bgColor indexed="64"/>
      </patternFill>
    </fill>
    <fill>
      <patternFill patternType="solid">
        <fgColor rgb="FF9CADB7"/>
        <bgColor indexed="64"/>
      </patternFill>
    </fill>
    <fill>
      <patternFill patternType="solid">
        <fgColor rgb="FFEEC28D"/>
        <bgColor indexed="64"/>
      </patternFill>
    </fill>
    <fill>
      <patternFill patternType="solid">
        <fgColor rgb="FFFFFFFF"/>
        <bgColor indexed="64"/>
      </patternFill>
    </fill>
  </fills>
  <borders count="19">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4">
    <xf numFmtId="0" fontId="0" fillId="0" borderId="0"/>
    <xf numFmtId="43" fontId="1" fillId="0" borderId="0" applyFont="0" applyFill="0" applyBorder="0" applyAlignment="0" applyProtection="0"/>
    <xf numFmtId="0" fontId="5" fillId="0" borderId="0" applyNumberFormat="0" applyFill="0" applyBorder="0" applyAlignment="0" applyProtection="0"/>
    <xf numFmtId="0" fontId="1" fillId="0" borderId="0"/>
    <xf numFmtId="0" fontId="8" fillId="0" borderId="4" applyNumberFormat="0" applyFill="0" applyAlignment="0" applyProtection="0"/>
    <xf numFmtId="0" fontId="1" fillId="3" borderId="5" applyNumberFormat="0" applyFont="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43" fontId="7" fillId="0" borderId="0"/>
    <xf numFmtId="9" fontId="1" fillId="0" borderId="0" applyFont="0" applyFill="0" applyBorder="0" applyAlignment="0" applyProtection="0"/>
    <xf numFmtId="0" fontId="33" fillId="0" borderId="18" applyNumberFormat="0">
      <alignment vertical="center"/>
    </xf>
  </cellStyleXfs>
  <cellXfs count="292">
    <xf numFmtId="0" fontId="0" fillId="0" borderId="0" xfId="0"/>
    <xf numFmtId="0" fontId="0" fillId="0" borderId="0" xfId="0" applyAlignment="1">
      <alignment wrapText="1"/>
    </xf>
    <xf numFmtId="0" fontId="0" fillId="0" borderId="3" xfId="0" applyBorder="1"/>
    <xf numFmtId="164" fontId="0" fillId="0" borderId="0" xfId="0" applyNumberFormat="1"/>
    <xf numFmtId="0" fontId="2" fillId="0" borderId="0" xfId="0" applyFont="1"/>
    <xf numFmtId="0" fontId="0" fillId="9" borderId="2" xfId="0" applyFill="1" applyBorder="1"/>
    <xf numFmtId="2" fontId="9" fillId="0" borderId="0" xfId="0" applyNumberFormat="1" applyFont="1"/>
    <xf numFmtId="0" fontId="9" fillId="0" borderId="0" xfId="0" applyFont="1"/>
    <xf numFmtId="0" fontId="10" fillId="0" borderId="0" xfId="0" applyFont="1"/>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xf>
    <xf numFmtId="165" fontId="0" fillId="0" borderId="0" xfId="0" applyNumberFormat="1"/>
    <xf numFmtId="0" fontId="0" fillId="0" borderId="1" xfId="0" applyBorder="1"/>
    <xf numFmtId="0" fontId="2" fillId="0" borderId="14"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3" xfId="0" applyBorder="1" applyAlignment="1">
      <alignment horizontal="right"/>
    </xf>
    <xf numFmtId="0" fontId="0" fillId="0" borderId="10" xfId="0" applyBorder="1"/>
    <xf numFmtId="0" fontId="0" fillId="0" borderId="9" xfId="0" applyBorder="1"/>
    <xf numFmtId="0" fontId="2" fillId="0" borderId="6" xfId="0" applyFont="1" applyBorder="1"/>
    <xf numFmtId="0" fontId="0" fillId="0" borderId="7" xfId="0" applyBorder="1"/>
    <xf numFmtId="0" fontId="0" fillId="0" borderId="13" xfId="0" applyBorder="1"/>
    <xf numFmtId="0" fontId="0" fillId="0" borderId="0" xfId="0" applyAlignment="1">
      <alignment horizontal="right"/>
    </xf>
    <xf numFmtId="0" fontId="4" fillId="0" borderId="9" xfId="0" applyFont="1" applyBorder="1"/>
    <xf numFmtId="0" fontId="2" fillId="0" borderId="8" xfId="0" applyFont="1" applyBorder="1"/>
    <xf numFmtId="0" fontId="2" fillId="0" borderId="9" xfId="0" applyFont="1" applyBorder="1"/>
    <xf numFmtId="0" fontId="12" fillId="0" borderId="0" xfId="0" applyFont="1" applyAlignment="1">
      <alignment horizontal="left" vertical="center"/>
    </xf>
    <xf numFmtId="0" fontId="2" fillId="0" borderId="2" xfId="0" applyFont="1" applyBorder="1" applyAlignment="1">
      <alignment horizontal="center" vertical="center" wrapText="1"/>
    </xf>
    <xf numFmtId="0" fontId="2" fillId="0" borderId="14" xfId="0" applyFont="1" applyBorder="1" applyAlignment="1">
      <alignment horizontal="center" wrapText="1"/>
    </xf>
    <xf numFmtId="0" fontId="2" fillId="0" borderId="11" xfId="0" applyFont="1" applyBorder="1" applyAlignment="1">
      <alignment horizontal="center" wrapText="1"/>
    </xf>
    <xf numFmtId="0" fontId="2" fillId="0" borderId="0" xfId="0" applyFont="1" applyAlignment="1">
      <alignment horizontal="right"/>
    </xf>
    <xf numFmtId="0" fontId="4" fillId="0" borderId="14" xfId="0" applyFont="1" applyBorder="1"/>
    <xf numFmtId="0" fontId="2" fillId="0" borderId="11" xfId="0" applyFont="1" applyBorder="1" applyAlignment="1">
      <alignment horizontal="center"/>
    </xf>
    <xf numFmtId="0" fontId="0" fillId="0" borderId="3" xfId="0" applyBorder="1" applyAlignment="1">
      <alignment horizontal="left" wrapText="1" indent="1"/>
    </xf>
    <xf numFmtId="0" fontId="0" fillId="0" borderId="2" xfId="0" applyBorder="1"/>
    <xf numFmtId="0" fontId="11" fillId="0" borderId="14" xfId="0" applyFont="1" applyBorder="1" applyAlignment="1">
      <alignment horizontal="left" wrapText="1" indent="1"/>
    </xf>
    <xf numFmtId="0" fontId="2" fillId="0" borderId="14" xfId="0" applyFont="1" applyBorder="1" applyAlignment="1">
      <alignment horizontal="center"/>
    </xf>
    <xf numFmtId="0" fontId="0" fillId="0" borderId="2" xfId="0" applyBorder="1" applyAlignment="1">
      <alignment wrapText="1"/>
    </xf>
    <xf numFmtId="0" fontId="15" fillId="10" borderId="2" xfId="0" applyFont="1" applyFill="1" applyBorder="1" applyAlignment="1">
      <alignment horizontal="center" vertical="center" wrapText="1"/>
    </xf>
    <xf numFmtId="0" fontId="15" fillId="10" borderId="2" xfId="0" applyFont="1" applyFill="1" applyBorder="1" applyAlignment="1">
      <alignment horizontal="center" wrapText="1"/>
    </xf>
    <xf numFmtId="0" fontId="9" fillId="0" borderId="2" xfId="0" applyFont="1" applyBorder="1"/>
    <xf numFmtId="0" fontId="15" fillId="10" borderId="2" xfId="0" applyFont="1" applyFill="1" applyBorder="1" applyAlignment="1">
      <alignment horizontal="center"/>
    </xf>
    <xf numFmtId="0" fontId="18" fillId="2" borderId="0" xfId="0" applyFont="1" applyFill="1"/>
    <xf numFmtId="9" fontId="18" fillId="2" borderId="0" xfId="0" applyNumberFormat="1" applyFont="1" applyFill="1"/>
    <xf numFmtId="0" fontId="19" fillId="2" borderId="0" xfId="0" applyFont="1" applyFill="1"/>
    <xf numFmtId="0" fontId="19" fillId="2" borderId="0" xfId="0" applyFont="1" applyFill="1" applyAlignment="1">
      <alignment wrapText="1"/>
    </xf>
    <xf numFmtId="0" fontId="20" fillId="2" borderId="0" xfId="0" applyFont="1" applyFill="1"/>
    <xf numFmtId="0" fontId="2" fillId="2" borderId="0" xfId="0" applyFont="1" applyFill="1"/>
    <xf numFmtId="0" fontId="0" fillId="2" borderId="0" xfId="0" applyFill="1"/>
    <xf numFmtId="0" fontId="0" fillId="2" borderId="0" xfId="0" applyFill="1" applyAlignment="1">
      <alignment wrapText="1"/>
    </xf>
    <xf numFmtId="0" fontId="15" fillId="10" borderId="2" xfId="0" applyFont="1" applyFill="1" applyBorder="1" applyAlignment="1">
      <alignment horizontal="center" vertical="center"/>
    </xf>
    <xf numFmtId="0" fontId="13" fillId="12" borderId="2" xfId="0" applyFont="1" applyFill="1" applyBorder="1" applyAlignment="1">
      <alignment horizontal="center" vertical="center" wrapText="1"/>
    </xf>
    <xf numFmtId="0" fontId="15" fillId="13" borderId="2" xfId="0" applyFont="1" applyFill="1" applyBorder="1" applyAlignment="1">
      <alignment horizontal="center" vertical="center" wrapText="1"/>
    </xf>
    <xf numFmtId="0" fontId="0" fillId="0" borderId="8" xfId="0" applyBorder="1" applyAlignment="1">
      <alignment horizontal="left" wrapText="1" indent="1"/>
    </xf>
    <xf numFmtId="0" fontId="0" fillId="0" borderId="10" xfId="0" applyBorder="1" applyAlignment="1">
      <alignment horizontal="left" wrapText="1" indent="1"/>
    </xf>
    <xf numFmtId="1" fontId="0" fillId="14" borderId="0" xfId="0" applyNumberFormat="1" applyFill="1"/>
    <xf numFmtId="164" fontId="0" fillId="14" borderId="0" xfId="1" applyNumberFormat="1" applyFont="1" applyFill="1" applyBorder="1"/>
    <xf numFmtId="0" fontId="15" fillId="10" borderId="2" xfId="9" applyFont="1" applyFill="1" applyBorder="1" applyAlignment="1">
      <alignment wrapText="1"/>
    </xf>
    <xf numFmtId="2" fontId="15" fillId="10" borderId="2" xfId="9" applyNumberFormat="1" applyFont="1" applyFill="1" applyBorder="1" applyAlignment="1">
      <alignment wrapText="1"/>
    </xf>
    <xf numFmtId="0" fontId="1" fillId="0" borderId="2" xfId="6" applyFill="1" applyBorder="1"/>
    <xf numFmtId="0" fontId="1" fillId="0" borderId="2" xfId="8" applyFill="1" applyBorder="1"/>
    <xf numFmtId="0" fontId="0" fillId="0" borderId="2" xfId="9" applyFont="1" applyFill="1" applyBorder="1"/>
    <xf numFmtId="0" fontId="21" fillId="0" borderId="7" xfId="4" applyFont="1" applyFill="1" applyBorder="1"/>
    <xf numFmtId="0" fontId="0" fillId="0" borderId="2" xfId="0" applyBorder="1" applyAlignment="1">
      <alignment horizontal="left" wrapText="1" indent="1"/>
    </xf>
    <xf numFmtId="0" fontId="2" fillId="0" borderId="5" xfId="5" applyFont="1" applyFill="1"/>
    <xf numFmtId="0" fontId="13" fillId="11" borderId="9" xfId="0" applyFont="1" applyFill="1" applyBorder="1" applyAlignment="1">
      <alignment horizontal="center" vertical="center" wrapText="1"/>
    </xf>
    <xf numFmtId="0" fontId="2" fillId="2" borderId="12" xfId="0" applyFont="1" applyFill="1" applyBorder="1" applyAlignment="1">
      <alignment horizontal="right"/>
    </xf>
    <xf numFmtId="0" fontId="0" fillId="2" borderId="7" xfId="0" applyFill="1" applyBorder="1"/>
    <xf numFmtId="0" fontId="0" fillId="2" borderId="1" xfId="0" applyFill="1" applyBorder="1"/>
    <xf numFmtId="164" fontId="0" fillId="14" borderId="13" xfId="1" applyNumberFormat="1" applyFont="1" applyFill="1" applyBorder="1"/>
    <xf numFmtId="164" fontId="0" fillId="14" borderId="17" xfId="1" applyNumberFormat="1" applyFont="1" applyFill="1" applyBorder="1"/>
    <xf numFmtId="0" fontId="13" fillId="0" borderId="6" xfId="0" applyFont="1" applyBorder="1"/>
    <xf numFmtId="0" fontId="13" fillId="2" borderId="7" xfId="0" applyFont="1" applyFill="1" applyBorder="1" applyAlignment="1">
      <alignment horizontal="left"/>
    </xf>
    <xf numFmtId="0" fontId="13" fillId="2" borderId="7" xfId="0" applyFont="1" applyFill="1" applyBorder="1"/>
    <xf numFmtId="0" fontId="13" fillId="2" borderId="16" xfId="0" applyFont="1" applyFill="1" applyBorder="1"/>
    <xf numFmtId="0" fontId="2" fillId="0" borderId="12" xfId="0" applyFont="1" applyBorder="1" applyAlignment="1">
      <alignment horizontal="right"/>
    </xf>
    <xf numFmtId="0" fontId="2" fillId="0" borderId="1" xfId="0" applyFont="1" applyBorder="1" applyAlignment="1">
      <alignment horizontal="right"/>
    </xf>
    <xf numFmtId="0" fontId="3" fillId="0" borderId="14" xfId="0" applyFont="1" applyBorder="1" applyAlignment="1">
      <alignment horizontal="right"/>
    </xf>
    <xf numFmtId="0" fontId="2" fillId="0" borderId="11" xfId="0" applyFont="1" applyBorder="1" applyAlignment="1">
      <alignment horizontal="right"/>
    </xf>
    <xf numFmtId="2" fontId="3" fillId="0" borderId="11" xfId="0" applyNumberFormat="1" applyFont="1" applyBorder="1" applyAlignment="1">
      <alignment horizontal="right"/>
    </xf>
    <xf numFmtId="0" fontId="2" fillId="0" borderId="15" xfId="0" applyFont="1" applyBorder="1" applyAlignment="1">
      <alignment horizontal="right"/>
    </xf>
    <xf numFmtId="0" fontId="2" fillId="15" borderId="1" xfId="0" applyFont="1" applyFill="1" applyBorder="1"/>
    <xf numFmtId="0" fontId="2" fillId="15" borderId="17" xfId="0" applyFont="1" applyFill="1" applyBorder="1"/>
    <xf numFmtId="164" fontId="14" fillId="14" borderId="14" xfId="1" applyNumberFormat="1" applyFont="1" applyFill="1" applyBorder="1"/>
    <xf numFmtId="164" fontId="14" fillId="14" borderId="11" xfId="1" applyNumberFormat="1" applyFont="1" applyFill="1" applyBorder="1"/>
    <xf numFmtId="165" fontId="0" fillId="14" borderId="0" xfId="0" applyNumberFormat="1" applyFill="1"/>
    <xf numFmtId="0" fontId="1" fillId="0" borderId="2" xfId="7" applyFill="1" applyBorder="1"/>
    <xf numFmtId="0" fontId="1" fillId="0" borderId="2" xfId="10" applyFill="1" applyBorder="1"/>
    <xf numFmtId="2" fontId="9" fillId="14" borderId="2" xfId="0" applyNumberFormat="1" applyFont="1" applyFill="1" applyBorder="1"/>
    <xf numFmtId="166" fontId="9" fillId="14" borderId="2" xfId="0" applyNumberFormat="1" applyFont="1" applyFill="1" applyBorder="1"/>
    <xf numFmtId="2" fontId="0" fillId="14" borderId="2" xfId="0" applyNumberFormat="1" applyFill="1" applyBorder="1"/>
    <xf numFmtId="165" fontId="9" fillId="14" borderId="2" xfId="0" applyNumberFormat="1" applyFont="1" applyFill="1" applyBorder="1"/>
    <xf numFmtId="165" fontId="0" fillId="14" borderId="2" xfId="0" applyNumberFormat="1" applyFill="1" applyBorder="1"/>
    <xf numFmtId="164" fontId="9" fillId="14" borderId="2" xfId="1" applyNumberFormat="1" applyFont="1" applyFill="1" applyBorder="1"/>
    <xf numFmtId="164" fontId="0" fillId="14" borderId="2" xfId="1" applyNumberFormat="1" applyFont="1" applyFill="1" applyBorder="1"/>
    <xf numFmtId="0" fontId="0" fillId="0" borderId="0" xfId="0" quotePrefix="1"/>
    <xf numFmtId="0" fontId="2" fillId="2" borderId="17" xfId="0" applyFont="1" applyFill="1" applyBorder="1" applyAlignment="1">
      <alignment horizontal="right"/>
    </xf>
    <xf numFmtId="0" fontId="2" fillId="2" borderId="6" xfId="0" applyFont="1" applyFill="1" applyBorder="1" applyAlignment="1">
      <alignment horizontal="right"/>
    </xf>
    <xf numFmtId="1" fontId="11" fillId="0" borderId="3" xfId="0" applyNumberFormat="1" applyFont="1" applyBorder="1" applyAlignment="1">
      <alignment horizontal="right"/>
    </xf>
    <xf numFmtId="1" fontId="11" fillId="0" borderId="0" xfId="0" applyNumberFormat="1" applyFont="1" applyAlignment="1">
      <alignment horizontal="right"/>
    </xf>
    <xf numFmtId="2" fontId="11" fillId="14" borderId="11" xfId="0" applyNumberFormat="1" applyFont="1" applyFill="1" applyBorder="1"/>
    <xf numFmtId="0" fontId="24" fillId="16" borderId="2" xfId="0" applyFont="1" applyFill="1" applyBorder="1" applyAlignment="1">
      <alignment horizontal="center" vertical="center" wrapText="1"/>
    </xf>
    <xf numFmtId="0" fontId="25" fillId="0" borderId="2" xfId="0" applyFont="1" applyBorder="1" applyAlignment="1">
      <alignment horizontal="left" wrapText="1"/>
    </xf>
    <xf numFmtId="0" fontId="25" fillId="0" borderId="2" xfId="0" applyFont="1" applyBorder="1" applyAlignment="1">
      <alignment horizontal="left"/>
    </xf>
    <xf numFmtId="167" fontId="24" fillId="0" borderId="2" xfId="0" applyNumberFormat="1" applyFont="1" applyBorder="1" applyAlignment="1">
      <alignment horizontal="center" vertical="center" wrapText="1"/>
    </xf>
    <xf numFmtId="3" fontId="24" fillId="0" borderId="2" xfId="0" applyNumberFormat="1" applyFont="1" applyBorder="1" applyAlignment="1">
      <alignment horizontal="center" vertical="center" wrapText="1"/>
    </xf>
    <xf numFmtId="167" fontId="25" fillId="0" borderId="2" xfId="0" applyNumberFormat="1" applyFont="1" applyBorder="1" applyAlignment="1">
      <alignment horizontal="center" wrapText="1"/>
    </xf>
    <xf numFmtId="167" fontId="25" fillId="0" borderId="2" xfId="0" applyNumberFormat="1" applyFont="1" applyBorder="1" applyAlignment="1">
      <alignment horizontal="right" wrapText="1"/>
    </xf>
    <xf numFmtId="3" fontId="25" fillId="0" borderId="2" xfId="0" applyNumberFormat="1" applyFont="1" applyBorder="1" applyAlignment="1">
      <alignment horizontal="right" wrapText="1"/>
    </xf>
    <xf numFmtId="167" fontId="25" fillId="0" borderId="2" xfId="0" applyNumberFormat="1" applyFont="1" applyBorder="1" applyAlignment="1">
      <alignment horizontal="left" wrapText="1"/>
    </xf>
    <xf numFmtId="167" fontId="24" fillId="14" borderId="2" xfId="0" applyNumberFormat="1" applyFont="1" applyFill="1" applyBorder="1" applyAlignment="1">
      <alignment horizontal="center" wrapText="1"/>
    </xf>
    <xf numFmtId="167" fontId="0" fillId="14" borderId="2" xfId="0" applyNumberFormat="1" applyFill="1" applyBorder="1"/>
    <xf numFmtId="3" fontId="0" fillId="14" borderId="2" xfId="0" applyNumberFormat="1" applyFill="1" applyBorder="1"/>
    <xf numFmtId="0" fontId="17" fillId="0" borderId="0" xfId="0" applyFont="1"/>
    <xf numFmtId="0" fontId="26" fillId="0" borderId="0" xfId="0" applyFont="1"/>
    <xf numFmtId="0" fontId="27" fillId="0" borderId="0" xfId="0" applyFont="1" applyAlignment="1">
      <alignment wrapText="1"/>
    </xf>
    <xf numFmtId="0" fontId="15" fillId="10" borderId="2" xfId="0" applyFont="1" applyFill="1" applyBorder="1"/>
    <xf numFmtId="1" fontId="0" fillId="14" borderId="2" xfId="0" applyNumberFormat="1" applyFill="1" applyBorder="1"/>
    <xf numFmtId="0" fontId="2" fillId="2" borderId="7" xfId="0" applyFont="1" applyFill="1" applyBorder="1" applyAlignment="1">
      <alignment horizontal="left" wrapText="1"/>
    </xf>
    <xf numFmtId="0" fontId="0" fillId="2" borderId="16" xfId="0" applyFill="1" applyBorder="1"/>
    <xf numFmtId="0" fontId="2" fillId="15" borderId="12" xfId="0" applyFont="1" applyFill="1" applyBorder="1"/>
    <xf numFmtId="0" fontId="2" fillId="14" borderId="14" xfId="0" applyFont="1" applyFill="1" applyBorder="1"/>
    <xf numFmtId="0" fontId="2" fillId="14" borderId="11" xfId="0" applyFont="1" applyFill="1" applyBorder="1"/>
    <xf numFmtId="0" fontId="2" fillId="14" borderId="15" xfId="0" applyFont="1" applyFill="1" applyBorder="1"/>
    <xf numFmtId="0" fontId="0" fillId="0" borderId="2" xfId="0" applyBorder="1" applyAlignment="1">
      <alignment horizontal="left" indent="1"/>
    </xf>
    <xf numFmtId="0" fontId="2" fillId="0" borderId="7" xfId="0" applyFont="1" applyBorder="1"/>
    <xf numFmtId="0" fontId="29" fillId="0" borderId="0" xfId="0" applyFont="1"/>
    <xf numFmtId="1" fontId="0" fillId="15" borderId="2" xfId="0" applyNumberFormat="1" applyFill="1" applyBorder="1" applyAlignment="1">
      <alignment horizontal="right" indent="1"/>
    </xf>
    <xf numFmtId="164" fontId="0" fillId="15" borderId="2" xfId="1" applyNumberFormat="1" applyFont="1" applyFill="1" applyBorder="1"/>
    <xf numFmtId="43" fontId="0" fillId="14" borderId="2" xfId="0" applyNumberFormat="1" applyFill="1" applyBorder="1" applyAlignment="1">
      <alignment horizontal="right"/>
    </xf>
    <xf numFmtId="43" fontId="0" fillId="14" borderId="2" xfId="0" quotePrefix="1" applyNumberFormat="1" applyFill="1" applyBorder="1" applyAlignment="1">
      <alignment horizontal="right"/>
    </xf>
    <xf numFmtId="164" fontId="0" fillId="0" borderId="7" xfId="1" applyNumberFormat="1" applyFont="1" applyFill="1" applyBorder="1"/>
    <xf numFmtId="0" fontId="30" fillId="0" borderId="0" xfId="0" applyFont="1"/>
    <xf numFmtId="0" fontId="0" fillId="15" borderId="2" xfId="0" applyFill="1" applyBorder="1"/>
    <xf numFmtId="0" fontId="0" fillId="14" borderId="2" xfId="0" applyFill="1" applyBorder="1"/>
    <xf numFmtId="0" fontId="31" fillId="0" borderId="0" xfId="2" applyFont="1"/>
    <xf numFmtId="0" fontId="12" fillId="2" borderId="0" xfId="0" applyFont="1" applyFill="1"/>
    <xf numFmtId="0" fontId="0" fillId="2" borderId="13" xfId="0" applyFill="1" applyBorder="1"/>
    <xf numFmtId="0" fontId="0" fillId="2" borderId="3" xfId="0" applyFill="1" applyBorder="1"/>
    <xf numFmtId="0" fontId="0" fillId="2" borderId="12" xfId="0" applyFill="1" applyBorder="1"/>
    <xf numFmtId="0" fontId="0" fillId="2" borderId="17" xfId="0" applyFill="1" applyBorder="1"/>
    <xf numFmtId="0" fontId="5" fillId="0" borderId="2" xfId="2" applyBorder="1" applyAlignment="1">
      <alignment wrapText="1"/>
    </xf>
    <xf numFmtId="0" fontId="6" fillId="0" borderId="0" xfId="0" applyFont="1" applyAlignment="1">
      <alignment horizontal="left" vertical="center" indent="2" readingOrder="1"/>
    </xf>
    <xf numFmtId="0" fontId="0" fillId="0" borderId="0" xfId="0" applyAlignment="1">
      <alignment vertical="center" wrapText="1"/>
    </xf>
    <xf numFmtId="0" fontId="0" fillId="0" borderId="0" xfId="0" applyAlignment="1">
      <alignment horizontal="left" vertical="center" wrapText="1"/>
    </xf>
    <xf numFmtId="14" fontId="12" fillId="2" borderId="3" xfId="0" applyNumberFormat="1" applyFont="1" applyFill="1" applyBorder="1"/>
    <xf numFmtId="0" fontId="12" fillId="2" borderId="3" xfId="0" applyFont="1" applyFill="1" applyBorder="1"/>
    <xf numFmtId="0" fontId="12" fillId="0" borderId="3" xfId="0" applyFont="1" applyBorder="1"/>
    <xf numFmtId="0" fontId="26" fillId="2" borderId="3" xfId="0" applyFont="1" applyFill="1" applyBorder="1"/>
    <xf numFmtId="0" fontId="9" fillId="2" borderId="3" xfId="0" applyFont="1" applyFill="1" applyBorder="1"/>
    <xf numFmtId="0" fontId="0" fillId="2" borderId="3" xfId="0" applyFill="1" applyBorder="1" applyAlignment="1">
      <alignment horizontal="right" vertical="top"/>
    </xf>
    <xf numFmtId="0" fontId="2" fillId="0" borderId="1" xfId="0" applyFont="1" applyBorder="1"/>
    <xf numFmtId="0" fontId="11" fillId="0" borderId="0" xfId="0" applyFont="1"/>
    <xf numFmtId="0" fontId="0" fillId="14" borderId="13" xfId="0" quotePrefix="1" applyFill="1" applyBorder="1"/>
    <xf numFmtId="0" fontId="0" fillId="14" borderId="13" xfId="0" applyFill="1" applyBorder="1"/>
    <xf numFmtId="0" fontId="0" fillId="14" borderId="17" xfId="0" quotePrefix="1" applyFill="1" applyBorder="1"/>
    <xf numFmtId="0" fontId="32" fillId="0" borderId="0" xfId="0" applyFont="1"/>
    <xf numFmtId="0" fontId="0" fillId="0" borderId="0" xfId="0" quotePrefix="1" applyAlignment="1">
      <alignment horizontal="right"/>
    </xf>
    <xf numFmtId="0" fontId="0" fillId="14" borderId="3" xfId="0" applyFill="1" applyBorder="1" applyAlignment="1">
      <alignment horizontal="right"/>
    </xf>
    <xf numFmtId="0" fontId="0" fillId="14" borderId="12" xfId="0" applyFill="1" applyBorder="1" applyAlignment="1">
      <alignment horizontal="right"/>
    </xf>
    <xf numFmtId="0" fontId="0" fillId="0" borderId="10" xfId="0" applyBorder="1" applyAlignment="1">
      <alignment horizontal="right"/>
    </xf>
    <xf numFmtId="164" fontId="0" fillId="0" borderId="3" xfId="1" applyNumberFormat="1" applyFont="1" applyFill="1" applyBorder="1"/>
    <xf numFmtId="164" fontId="0" fillId="0" borderId="0" xfId="1" applyNumberFormat="1" applyFont="1" applyFill="1" applyBorder="1"/>
    <xf numFmtId="164" fontId="0" fillId="0" borderId="13" xfId="1" applyNumberFormat="1" applyFont="1" applyFill="1" applyBorder="1"/>
    <xf numFmtId="0" fontId="0" fillId="0" borderId="10" xfId="0" applyBorder="1" applyAlignment="1">
      <alignment horizontal="left"/>
    </xf>
    <xf numFmtId="1" fontId="0" fillId="14" borderId="7" xfId="0" applyNumberFormat="1" applyFill="1" applyBorder="1"/>
    <xf numFmtId="1" fontId="0" fillId="14" borderId="3" xfId="0" applyNumberFormat="1" applyFill="1" applyBorder="1"/>
    <xf numFmtId="164" fontId="0" fillId="14" borderId="3" xfId="1" applyNumberFormat="1" applyFont="1" applyFill="1" applyBorder="1"/>
    <xf numFmtId="0" fontId="0" fillId="0" borderId="1" xfId="0" applyBorder="1" applyAlignment="1">
      <alignment horizontal="right"/>
    </xf>
    <xf numFmtId="0" fontId="0" fillId="0" borderId="3" xfId="0" applyBorder="1" applyAlignment="1">
      <alignment horizontal="left"/>
    </xf>
    <xf numFmtId="0" fontId="0" fillId="0" borderId="6" xfId="0" applyBorder="1" applyAlignment="1">
      <alignment horizontal="right"/>
    </xf>
    <xf numFmtId="0" fontId="0" fillId="0" borderId="6" xfId="0" applyBorder="1" applyAlignment="1">
      <alignment horizontal="left"/>
    </xf>
    <xf numFmtId="164" fontId="0" fillId="14" borderId="7" xfId="1" applyNumberFormat="1" applyFont="1" applyFill="1" applyBorder="1"/>
    <xf numFmtId="164" fontId="0" fillId="14" borderId="16" xfId="1" applyNumberFormat="1" applyFont="1" applyFill="1" applyBorder="1"/>
    <xf numFmtId="164" fontId="0" fillId="0" borderId="13" xfId="1" applyNumberFormat="1" applyFont="1" applyBorder="1"/>
    <xf numFmtId="0" fontId="2" fillId="0" borderId="2" xfId="0" applyFont="1" applyBorder="1" applyAlignment="1">
      <alignment horizontal="center" wrapText="1"/>
    </xf>
    <xf numFmtId="164" fontId="14" fillId="0" borderId="11" xfId="1" applyNumberFormat="1" applyFont="1" applyFill="1" applyBorder="1"/>
    <xf numFmtId="2" fontId="0" fillId="0" borderId="10" xfId="0" applyNumberFormat="1" applyBorder="1"/>
    <xf numFmtId="0" fontId="2" fillId="0" borderId="12" xfId="0" applyFont="1" applyBorder="1"/>
    <xf numFmtId="2" fontId="0" fillId="0" borderId="3" xfId="0" applyNumberFormat="1" applyBorder="1"/>
    <xf numFmtId="0" fontId="0" fillId="0" borderId="12" xfId="0" applyBorder="1" applyAlignment="1">
      <alignment horizontal="right"/>
    </xf>
    <xf numFmtId="0" fontId="0" fillId="0" borderId="3" xfId="0" applyBorder="1" applyAlignment="1">
      <alignment horizontal="right" vertical="center" wrapText="1"/>
    </xf>
    <xf numFmtId="0" fontId="0" fillId="0" borderId="1" xfId="0" applyBorder="1" applyAlignment="1">
      <alignment horizontal="left"/>
    </xf>
    <xf numFmtId="2" fontId="0" fillId="0" borderId="0" xfId="0" applyNumberFormat="1"/>
    <xf numFmtId="1" fontId="0" fillId="14" borderId="13" xfId="0" applyNumberFormat="1" applyFill="1" applyBorder="1" applyAlignment="1">
      <alignment horizontal="right"/>
    </xf>
    <xf numFmtId="1" fontId="0" fillId="14" borderId="17" xfId="0" applyNumberFormat="1" applyFill="1" applyBorder="1" applyAlignment="1">
      <alignment horizontal="right"/>
    </xf>
    <xf numFmtId="1" fontId="0" fillId="14" borderId="13" xfId="0" applyNumberFormat="1" applyFill="1" applyBorder="1" applyAlignment="1">
      <alignment horizontal="right" vertical="center" wrapText="1"/>
    </xf>
    <xf numFmtId="1" fontId="0" fillId="0" borderId="0" xfId="0" quotePrefix="1" applyNumberFormat="1" applyAlignment="1">
      <alignment horizontal="right"/>
    </xf>
    <xf numFmtId="2" fontId="0" fillId="0" borderId="13" xfId="0" applyNumberFormat="1" applyBorder="1"/>
    <xf numFmtId="0" fontId="0" fillId="0" borderId="13" xfId="0" applyBorder="1" applyAlignment="1">
      <alignment horizontal="left" wrapText="1" indent="1"/>
    </xf>
    <xf numFmtId="0" fontId="0" fillId="0" borderId="7" xfId="0" applyBorder="1" applyAlignment="1">
      <alignment horizontal="left"/>
    </xf>
    <xf numFmtId="0" fontId="2" fillId="0" borderId="11" xfId="0" applyFont="1" applyBorder="1" applyAlignment="1">
      <alignment horizontal="left"/>
    </xf>
    <xf numFmtId="164" fontId="0" fillId="14" borderId="0" xfId="1" applyNumberFormat="1" applyFont="1" applyFill="1" applyBorder="1" applyAlignment="1">
      <alignment horizontal="left"/>
    </xf>
    <xf numFmtId="164" fontId="11" fillId="14" borderId="11" xfId="1" applyNumberFormat="1" applyFont="1" applyFill="1" applyBorder="1" applyAlignment="1">
      <alignment horizontal="left"/>
    </xf>
    <xf numFmtId="0" fontId="27" fillId="0" borderId="0" xfId="0" applyFont="1" applyAlignment="1">
      <alignment horizontal="left" wrapText="1"/>
    </xf>
    <xf numFmtId="0" fontId="24" fillId="16" borderId="2" xfId="0" applyFont="1" applyFill="1" applyBorder="1" applyAlignment="1">
      <alignment horizontal="left" vertical="center" wrapText="1"/>
    </xf>
    <xf numFmtId="0" fontId="15" fillId="10" borderId="2" xfId="0" applyFont="1" applyFill="1" applyBorder="1" applyAlignment="1">
      <alignment horizontal="left"/>
    </xf>
    <xf numFmtId="165" fontId="0" fillId="14" borderId="2" xfId="0" applyNumberFormat="1" applyFill="1" applyBorder="1" applyAlignment="1">
      <alignment horizontal="left"/>
    </xf>
    <xf numFmtId="0" fontId="2" fillId="0" borderId="11" xfId="0" applyFont="1" applyBorder="1" applyAlignment="1">
      <alignment horizontal="center" vertical="center"/>
    </xf>
    <xf numFmtId="0" fontId="0" fillId="0" borderId="3" xfId="0" applyBorder="1" applyAlignment="1">
      <alignment horizontal="right" vertical="center"/>
    </xf>
    <xf numFmtId="0" fontId="0" fillId="0" borderId="0" xfId="0" applyAlignment="1">
      <alignment horizontal="left" vertical="center"/>
    </xf>
    <xf numFmtId="1" fontId="1" fillId="14" borderId="13" xfId="1" applyNumberFormat="1" applyFont="1" applyFill="1" applyBorder="1" applyAlignment="1">
      <alignment horizontal="right"/>
    </xf>
    <xf numFmtId="1" fontId="1" fillId="14" borderId="17" xfId="1" applyNumberFormat="1" applyFont="1" applyFill="1" applyBorder="1" applyAlignment="1">
      <alignment horizontal="right"/>
    </xf>
    <xf numFmtId="1" fontId="0" fillId="14" borderId="13" xfId="0" applyNumberFormat="1" applyFill="1" applyBorder="1" applyAlignment="1">
      <alignment horizontal="right" vertical="center"/>
    </xf>
    <xf numFmtId="164" fontId="0" fillId="0" borderId="0" xfId="1" applyNumberFormat="1" applyFont="1" applyFill="1" applyBorder="1" applyAlignment="1">
      <alignment horizontal="left"/>
    </xf>
    <xf numFmtId="164" fontId="11" fillId="0" borderId="11" xfId="1" applyNumberFormat="1" applyFont="1" applyFill="1" applyBorder="1" applyAlignment="1">
      <alignment horizontal="left"/>
    </xf>
    <xf numFmtId="0" fontId="11" fillId="0" borderId="11" xfId="0" applyFont="1" applyBorder="1"/>
    <xf numFmtId="1" fontId="11" fillId="0" borderId="11" xfId="0" applyNumberFormat="1" applyFont="1" applyBorder="1"/>
    <xf numFmtId="1" fontId="0" fillId="14" borderId="0" xfId="0" applyNumberFormat="1" applyFill="1" applyAlignment="1">
      <alignment horizontal="left"/>
    </xf>
    <xf numFmtId="1" fontId="34" fillId="14" borderId="11" xfId="0" applyNumberFormat="1" applyFont="1" applyFill="1" applyBorder="1"/>
    <xf numFmtId="0" fontId="34" fillId="0" borderId="11" xfId="0" applyFont="1" applyBorder="1"/>
    <xf numFmtId="0" fontId="13" fillId="0" borderId="15" xfId="0" applyFont="1" applyBorder="1" applyAlignment="1">
      <alignment horizontal="center" wrapText="1"/>
    </xf>
    <xf numFmtId="164" fontId="9" fillId="0" borderId="2" xfId="1" applyNumberFormat="1" applyFont="1" applyFill="1" applyBorder="1" applyAlignment="1">
      <alignment horizontal="right"/>
    </xf>
    <xf numFmtId="0" fontId="0" fillId="0" borderId="2" xfId="7" quotePrefix="1" applyFont="1" applyFill="1" applyBorder="1" applyAlignment="1">
      <alignment horizontal="right"/>
    </xf>
    <xf numFmtId="3" fontId="0" fillId="0" borderId="2" xfId="1" applyNumberFormat="1" applyFont="1" applyBorder="1"/>
    <xf numFmtId="9" fontId="0" fillId="0" borderId="2" xfId="12" applyFont="1" applyBorder="1"/>
    <xf numFmtId="2" fontId="9" fillId="0" borderId="2" xfId="7" quotePrefix="1" applyNumberFormat="1" applyFont="1" applyFill="1" applyBorder="1" applyAlignment="1">
      <alignment horizontal="right"/>
    </xf>
    <xf numFmtId="2" fontId="9" fillId="0" borderId="2" xfId="6" applyNumberFormat="1" applyFont="1" applyFill="1" applyBorder="1" applyAlignment="1">
      <alignment horizontal="right"/>
    </xf>
    <xf numFmtId="2" fontId="1" fillId="0" borderId="2" xfId="8" applyNumberFormat="1" applyFill="1" applyBorder="1" applyAlignment="1">
      <alignment horizontal="right"/>
    </xf>
    <xf numFmtId="2" fontId="0" fillId="0" borderId="2" xfId="7" quotePrefix="1" applyNumberFormat="1" applyFont="1" applyFill="1" applyBorder="1" applyAlignment="1">
      <alignment horizontal="right"/>
    </xf>
    <xf numFmtId="0" fontId="21" fillId="0" borderId="6" xfId="4" applyFont="1" applyFill="1" applyBorder="1"/>
    <xf numFmtId="0" fontId="1" fillId="0" borderId="2" xfId="9" applyFill="1" applyBorder="1"/>
    <xf numFmtId="164" fontId="9" fillId="0" borderId="2" xfId="1" applyNumberFormat="1" applyFont="1" applyFill="1" applyBorder="1"/>
    <xf numFmtId="0" fontId="0" fillId="14" borderId="3" xfId="0" applyFill="1" applyBorder="1"/>
    <xf numFmtId="0" fontId="0" fillId="14" borderId="0" xfId="0" applyFill="1"/>
    <xf numFmtId="0" fontId="15" fillId="10" borderId="14" xfId="0" applyFont="1" applyFill="1" applyBorder="1" applyAlignment="1">
      <alignment horizontal="center" vertical="center"/>
    </xf>
    <xf numFmtId="0" fontId="15" fillId="10" borderId="15" xfId="0" applyFont="1" applyFill="1" applyBorder="1" applyAlignment="1">
      <alignment horizontal="center" vertical="center"/>
    </xf>
    <xf numFmtId="0" fontId="9" fillId="0" borderId="2" xfId="0" applyFont="1" applyBorder="1" applyAlignment="1">
      <alignment horizontal="right" indent="1"/>
    </xf>
    <xf numFmtId="0" fontId="9" fillId="0" borderId="2" xfId="0" applyFont="1" applyBorder="1" applyAlignment="1">
      <alignment horizontal="left" indent="1"/>
    </xf>
    <xf numFmtId="2" fontId="9" fillId="14" borderId="2" xfId="0" applyNumberFormat="1" applyFont="1" applyFill="1" applyBorder="1" applyAlignment="1">
      <alignment horizontal="right" indent="1"/>
    </xf>
    <xf numFmtId="43" fontId="9" fillId="14" borderId="2" xfId="1" applyFont="1" applyFill="1" applyBorder="1"/>
    <xf numFmtId="43" fontId="9" fillId="14" borderId="2" xfId="0" applyNumberFormat="1" applyFont="1" applyFill="1" applyBorder="1"/>
    <xf numFmtId="0" fontId="0" fillId="15" borderId="13" xfId="0" applyFill="1" applyBorder="1"/>
    <xf numFmtId="0" fontId="0" fillId="15" borderId="10" xfId="0" applyFill="1" applyBorder="1"/>
    <xf numFmtId="0" fontId="0" fillId="15" borderId="17" xfId="0" applyFill="1" applyBorder="1" applyAlignment="1">
      <alignment horizontal="right"/>
    </xf>
    <xf numFmtId="0" fontId="0" fillId="15" borderId="9" xfId="0" applyFill="1" applyBorder="1" applyAlignment="1">
      <alignment horizontal="right"/>
    </xf>
    <xf numFmtId="165" fontId="0" fillId="15" borderId="9" xfId="0" applyNumberFormat="1" applyFill="1" applyBorder="1" applyAlignment="1">
      <alignment horizontal="right"/>
    </xf>
    <xf numFmtId="1" fontId="0" fillId="15" borderId="13" xfId="0" applyNumberFormat="1" applyFill="1" applyBorder="1"/>
    <xf numFmtId="1" fontId="0" fillId="15" borderId="10" xfId="0" applyNumberFormat="1" applyFill="1" applyBorder="1"/>
    <xf numFmtId="0" fontId="0" fillId="15" borderId="17" xfId="0" applyFill="1" applyBorder="1" applyAlignment="1">
      <alignment horizontal="left" wrapText="1"/>
    </xf>
    <xf numFmtId="0" fontId="0" fillId="15" borderId="9" xfId="0" applyFill="1" applyBorder="1" applyAlignment="1">
      <alignment horizontal="left" wrapText="1"/>
    </xf>
    <xf numFmtId="165" fontId="0" fillId="15" borderId="9" xfId="0" applyNumberFormat="1" applyFill="1" applyBorder="1" applyAlignment="1">
      <alignment horizontal="left" wrapText="1"/>
    </xf>
    <xf numFmtId="165" fontId="36" fillId="0" borderId="0" xfId="0" applyNumberFormat="1" applyFont="1"/>
    <xf numFmtId="2" fontId="9" fillId="14" borderId="2" xfId="0" quotePrefix="1" applyNumberFormat="1" applyFont="1" applyFill="1" applyBorder="1" applyAlignment="1">
      <alignment horizontal="right" indent="1"/>
    </xf>
    <xf numFmtId="2" fontId="0" fillId="14" borderId="0" xfId="0" applyNumberFormat="1" applyFill="1"/>
    <xf numFmtId="0" fontId="9" fillId="0" borderId="2" xfId="0" applyFont="1" applyBorder="1" applyAlignment="1">
      <alignment horizontal="right" vertical="center" indent="1"/>
    </xf>
    <xf numFmtId="0" fontId="9" fillId="0" borderId="2" xfId="0" applyFont="1" applyBorder="1" applyAlignment="1">
      <alignment horizontal="left" vertical="center" wrapText="1" indent="1"/>
    </xf>
    <xf numFmtId="0" fontId="0" fillId="0" borderId="2" xfId="0" applyBorder="1" applyAlignment="1">
      <alignment horizontal="left" vertical="center" wrapText="1" indent="1"/>
    </xf>
    <xf numFmtId="0" fontId="0" fillId="0" borderId="2" xfId="0" applyBorder="1" applyAlignment="1">
      <alignment horizontal="right" vertical="center" indent="1"/>
    </xf>
    <xf numFmtId="0" fontId="11" fillId="2" borderId="0" xfId="0" applyFont="1" applyFill="1" applyAlignment="1">
      <alignment horizontal="left"/>
    </xf>
    <xf numFmtId="9" fontId="0" fillId="14" borderId="0" xfId="12" applyFont="1" applyFill="1" applyBorder="1"/>
    <xf numFmtId="9" fontId="11" fillId="0" borderId="0" xfId="12" applyFont="1" applyFill="1" applyBorder="1"/>
    <xf numFmtId="0" fontId="0" fillId="0" borderId="12" xfId="0" applyBorder="1" applyAlignment="1">
      <alignment horizontal="left" wrapText="1" indent="1"/>
    </xf>
    <xf numFmtId="0" fontId="0" fillId="0" borderId="6" xfId="0" applyBorder="1" applyAlignment="1">
      <alignment horizontal="left" wrapText="1" indent="1"/>
    </xf>
    <xf numFmtId="0" fontId="37" fillId="2" borderId="1" xfId="0" applyFont="1" applyFill="1" applyBorder="1"/>
    <xf numFmtId="0" fontId="38" fillId="2" borderId="6" xfId="0" applyFont="1" applyFill="1" applyBorder="1"/>
    <xf numFmtId="0" fontId="0" fillId="0" borderId="2" xfId="0" applyBorder="1" applyAlignment="1">
      <alignment horizontal="left" wrapText="1"/>
    </xf>
    <xf numFmtId="0" fontId="15" fillId="10" borderId="3" xfId="0" applyFont="1" applyFill="1" applyBorder="1" applyAlignment="1">
      <alignment horizontal="left" vertical="center" wrapText="1"/>
    </xf>
    <xf numFmtId="0" fontId="15" fillId="10" borderId="0" xfId="0" applyFont="1" applyFill="1" applyAlignment="1">
      <alignment horizontal="left" vertical="center" wrapText="1"/>
    </xf>
    <xf numFmtId="0" fontId="0" fillId="2" borderId="0" xfId="0" applyFill="1" applyAlignment="1">
      <alignment horizontal="left" wrapText="1"/>
    </xf>
    <xf numFmtId="0" fontId="0" fillId="2" borderId="13" xfId="0" applyFill="1" applyBorder="1" applyAlignment="1">
      <alignment horizontal="left"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6" xfId="0" applyBorder="1" applyAlignment="1">
      <alignment horizontal="left" vertical="center" wrapText="1"/>
    </xf>
    <xf numFmtId="0" fontId="0" fillId="2" borderId="3" xfId="0" applyFill="1" applyBorder="1" applyAlignment="1">
      <alignment horizontal="left" vertical="center" wrapText="1"/>
    </xf>
    <xf numFmtId="0" fontId="0" fillId="2" borderId="0" xfId="0" applyFill="1" applyBorder="1" applyAlignment="1">
      <alignment horizontal="left" vertical="center" wrapText="1"/>
    </xf>
    <xf numFmtId="0" fontId="0" fillId="2" borderId="13" xfId="0" applyFill="1" applyBorder="1" applyAlignment="1">
      <alignment horizontal="left" vertical="center" wrapText="1"/>
    </xf>
    <xf numFmtId="0" fontId="0" fillId="2" borderId="3" xfId="0" applyFill="1" applyBorder="1" applyAlignment="1">
      <alignment horizontal="left" vertical="top" wrapText="1"/>
    </xf>
    <xf numFmtId="0" fontId="0" fillId="2" borderId="0" xfId="0" applyFill="1" applyBorder="1" applyAlignment="1">
      <alignment horizontal="left" vertical="top" wrapText="1"/>
    </xf>
    <xf numFmtId="0" fontId="0" fillId="2" borderId="13" xfId="0" applyFill="1" applyBorder="1" applyAlignment="1">
      <alignment horizontal="left" vertical="top" wrapText="1"/>
    </xf>
    <xf numFmtId="0" fontId="0" fillId="2" borderId="12" xfId="0" applyFill="1" applyBorder="1" applyAlignment="1">
      <alignment horizontal="left" vertical="center" wrapText="1"/>
    </xf>
    <xf numFmtId="0" fontId="0" fillId="2" borderId="1" xfId="0" applyFill="1" applyBorder="1" applyAlignment="1">
      <alignment horizontal="left" vertical="center" wrapText="1"/>
    </xf>
    <xf numFmtId="0" fontId="0" fillId="2" borderId="17" xfId="0" applyFill="1" applyBorder="1" applyAlignment="1">
      <alignment horizontal="left" vertical="center" wrapText="1"/>
    </xf>
    <xf numFmtId="0" fontId="24" fillId="11" borderId="14" xfId="0" applyFont="1" applyFill="1" applyBorder="1" applyAlignment="1">
      <alignment horizontal="center" vertical="center" wrapText="1"/>
    </xf>
    <xf numFmtId="0" fontId="24" fillId="11" borderId="11" xfId="0" applyFont="1" applyFill="1" applyBorder="1" applyAlignment="1">
      <alignment horizontal="center" vertical="center" wrapText="1"/>
    </xf>
    <xf numFmtId="0" fontId="24" fillId="11" borderId="15" xfId="0" applyFont="1" applyFill="1" applyBorder="1" applyAlignment="1">
      <alignment horizontal="center" vertical="center" wrapText="1"/>
    </xf>
    <xf numFmtId="0" fontId="24" fillId="12" borderId="14" xfId="0" applyFont="1" applyFill="1" applyBorder="1" applyAlignment="1">
      <alignment horizontal="center" vertical="center" wrapText="1"/>
    </xf>
    <xf numFmtId="0" fontId="24" fillId="12" borderId="11" xfId="0" applyFont="1" applyFill="1" applyBorder="1" applyAlignment="1">
      <alignment horizontal="center" vertical="center" wrapText="1"/>
    </xf>
    <xf numFmtId="0" fontId="24" fillId="12" borderId="15" xfId="0" applyFont="1" applyFill="1" applyBorder="1" applyAlignment="1">
      <alignment horizontal="center" vertical="center" wrapText="1"/>
    </xf>
    <xf numFmtId="0" fontId="15" fillId="13" borderId="14" xfId="0" applyFont="1" applyFill="1" applyBorder="1" applyAlignment="1">
      <alignment horizontal="center" vertical="center" wrapText="1"/>
    </xf>
    <xf numFmtId="0" fontId="15" fillId="13" borderId="11" xfId="0" applyFont="1" applyFill="1" applyBorder="1" applyAlignment="1">
      <alignment horizontal="center" vertical="center" wrapText="1"/>
    </xf>
    <xf numFmtId="0" fontId="15" fillId="13" borderId="15" xfId="0" applyFont="1" applyFill="1" applyBorder="1" applyAlignment="1">
      <alignment horizontal="center" vertical="center" wrapText="1"/>
    </xf>
    <xf numFmtId="0" fontId="24" fillId="16" borderId="14" xfId="0" applyFont="1" applyFill="1" applyBorder="1" applyAlignment="1">
      <alignment horizontal="center" vertical="center" wrapText="1"/>
    </xf>
    <xf numFmtId="0" fontId="24" fillId="16" borderId="11" xfId="0" applyFont="1" applyFill="1" applyBorder="1" applyAlignment="1">
      <alignment horizontal="center" vertical="center" wrapText="1"/>
    </xf>
    <xf numFmtId="0" fontId="24" fillId="16" borderId="15" xfId="0" applyFont="1" applyFill="1" applyBorder="1" applyAlignment="1">
      <alignment horizontal="center" vertical="center" wrapText="1"/>
    </xf>
    <xf numFmtId="0" fontId="15" fillId="10" borderId="14" xfId="0" applyFont="1" applyFill="1" applyBorder="1" applyAlignment="1">
      <alignment horizontal="center" vertical="center" wrapText="1"/>
    </xf>
    <xf numFmtId="0" fontId="15" fillId="10" borderId="11"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14" xfId="0" applyFont="1" applyFill="1" applyBorder="1" applyAlignment="1">
      <alignment horizontal="left" vertical="center" wrapText="1"/>
    </xf>
    <xf numFmtId="0" fontId="15" fillId="10" borderId="11" xfId="0" applyFont="1" applyFill="1" applyBorder="1" applyAlignment="1">
      <alignment horizontal="left" vertical="center" wrapText="1"/>
    </xf>
    <xf numFmtId="0" fontId="15" fillId="10" borderId="15" xfId="0" applyFont="1" applyFill="1" applyBorder="1" applyAlignment="1">
      <alignment horizontal="left" vertical="center" wrapText="1"/>
    </xf>
  </cellXfs>
  <cellStyles count="14">
    <cellStyle name="20% - Accent1" xfId="6" builtinId="30"/>
    <cellStyle name="20% - Accent2" xfId="7" builtinId="34"/>
    <cellStyle name="20% - Accent3" xfId="8" builtinId="38"/>
    <cellStyle name="20% - Accent6" xfId="10" builtinId="50"/>
    <cellStyle name="40% - Accent4" xfId="9" builtinId="43"/>
    <cellStyle name="Comma" xfId="1" builtinId="3"/>
    <cellStyle name="Comma 2" xfId="11"/>
    <cellStyle name="Heading 2" xfId="4" builtinId="17"/>
    <cellStyle name="Hyperlink" xfId="2" builtinId="8"/>
    <cellStyle name="Normal" xfId="0" builtinId="0"/>
    <cellStyle name="Normal 2" xfId="3"/>
    <cellStyle name="Note" xfId="5" builtinId="10"/>
    <cellStyle name="Percent" xfId="12" builtinId="5"/>
    <cellStyle name="Table Value" xfId="13"/>
  </cellStyles>
  <dxfs count="0"/>
  <tableStyles count="0" defaultTableStyle="TableStyleMedium2" defaultPivotStyle="PivotStyleLight16"/>
  <colors>
    <mruColors>
      <color rgb="FF006671"/>
      <color rgb="FF9CADB7"/>
      <color rgb="FFC3E7E3"/>
      <color rgb="FF58C3B4"/>
      <color rgb="FF668B53"/>
      <color rgb="FFEEC28D"/>
      <color rgb="FFCC00FF"/>
      <color rgb="FFFFC5C5"/>
      <color rgb="FF8F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customXml" Target="../customXml/item4.xml"/><Relationship Id="rId3" Type="http://schemas.openxmlformats.org/officeDocument/2006/relationships/chartsheet" Target="chartsheets/sheet1.xml"/><Relationship Id="rId21" Type="http://schemas.openxmlformats.org/officeDocument/2006/relationships/sharedStrings" Target="sharedStrings.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customXml" Target="../customXml/item2.xml"/><Relationship Id="rId5" Type="http://schemas.openxmlformats.org/officeDocument/2006/relationships/worksheet" Target="worksheets/sheet4.xml"/><Relationship Id="rId15" Type="http://schemas.openxmlformats.org/officeDocument/2006/relationships/worksheet" Target="worksheets/sheet14.xml"/><Relationship Id="rId23" Type="http://schemas.openxmlformats.org/officeDocument/2006/relationships/customXml" Target="../customXml/item1.xml"/><Relationship Id="rId10" Type="http://schemas.openxmlformats.org/officeDocument/2006/relationships/worksheet" Target="worksheets/sheet9.xml"/><Relationship Id="rId19" Type="http://schemas.openxmlformats.org/officeDocument/2006/relationships/theme" Target="theme/theme1.xml"/><Relationship Id="rId4" Type="http://schemas.openxmlformats.org/officeDocument/2006/relationships/worksheet" Target="worksheets/sheet3.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770375803200348E-2"/>
          <c:y val="4.2187937976199574E-2"/>
          <c:w val="0.88191455747293457"/>
          <c:h val="0.77755443646000566"/>
        </c:manualLayout>
      </c:layout>
      <c:bubbleChart>
        <c:varyColors val="0"/>
        <c:ser>
          <c:idx val="3"/>
          <c:order val="0"/>
          <c:tx>
            <c:strRef>
              <c:f>Plot_Data!$A$4</c:f>
              <c:strCache>
                <c:ptCount val="1"/>
                <c:pt idx="0">
                  <c:v>Reference Portfolio</c:v>
                </c:pt>
              </c:strCache>
            </c:strRef>
          </c:tx>
          <c:spPr>
            <a:solidFill>
              <a:srgbClr val="006671"/>
            </a:solidFill>
            <a:ln w="9525">
              <a:solidFill>
                <a:schemeClr val="tx1"/>
              </a:solidFill>
            </a:ln>
            <a:effectLst/>
          </c:spPr>
          <c:invertIfNegative val="0"/>
          <c:dLbls>
            <c:dLbl>
              <c:idx val="0"/>
              <c:layout>
                <c:manualLayout>
                  <c:x val="1.2841467824447941E-2"/>
                  <c:y val="-1.2130802527409872E-2"/>
                </c:manualLayout>
              </c:layout>
              <c:tx>
                <c:rich>
                  <a:bodyPr/>
                  <a:lstStyle/>
                  <a:p>
                    <a:fld id="{22DBEA46-1BC3-44AA-99C0-4308B99BA539}"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0-F7B5-4FE6-B6AD-FF037B4CF4EB}"/>
                </c:ext>
              </c:extLst>
            </c:dLbl>
            <c:spPr>
              <a:noFill/>
              <a:ln>
                <a:noFill/>
              </a:ln>
              <a:effectLst/>
            </c:spPr>
            <c:txPr>
              <a:bodyPr rot="0" spcFirstLastPara="1" vertOverflow="ellipsis" vert="horz" wrap="square" lIns="38100" tIns="19050" rIns="38100" bIns="19050" anchor="ctr" anchorCtr="1">
                <a:spAutoFit/>
              </a:bodyPr>
              <a:lstStyle/>
              <a:p>
                <a:pPr>
                  <a:defRPr sz="1100" b="1" i="1"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Plot_Data!$C$6</c:f>
              <c:numCache>
                <c:formatCode>0.00</c:formatCode>
                <c:ptCount val="1"/>
                <c:pt idx="0">
                  <c:v>0</c:v>
                </c:pt>
              </c:numCache>
            </c:numRef>
          </c:xVal>
          <c:yVal>
            <c:numRef>
              <c:f>Plot_Data!$D$6</c:f>
              <c:numCache>
                <c:formatCode>0.00</c:formatCode>
                <c:ptCount val="1"/>
                <c:pt idx="0">
                  <c:v>20.84664822817858</c:v>
                </c:pt>
              </c:numCache>
            </c:numRef>
          </c:yVal>
          <c:bubbleSize>
            <c:numRef>
              <c:f>Plot_Data!$E$6</c:f>
              <c:numCache>
                <c:formatCode>0.00</c:formatCode>
                <c:ptCount val="1"/>
                <c:pt idx="0">
                  <c:v>1</c:v>
                </c:pt>
              </c:numCache>
            </c:numRef>
          </c:bubbleSize>
          <c:bubble3D val="0"/>
          <c:extLst>
            <c:ext xmlns:c15="http://schemas.microsoft.com/office/drawing/2012/chart" uri="{02D57815-91ED-43cb-92C2-25804820EDAC}">
              <c15:datalabelsRange>
                <c15:f>Plot_Data!$A$6</c15:f>
                <c15:dlblRangeCache>
                  <c:ptCount val="1"/>
                  <c:pt idx="0">
                    <c:v>1</c:v>
                  </c:pt>
                </c15:dlblRangeCache>
              </c15:datalabelsRange>
            </c:ext>
            <c:ext xmlns:c16="http://schemas.microsoft.com/office/drawing/2014/chart" uri="{C3380CC4-5D6E-409C-BE32-E72D297353CC}">
              <c16:uniqueId val="{00000001-F7B5-4FE6-B6AD-FF037B4CF4EB}"/>
            </c:ext>
          </c:extLst>
        </c:ser>
        <c:ser>
          <c:idx val="0"/>
          <c:order val="1"/>
          <c:tx>
            <c:strRef>
              <c:f>Plot_Data!$N$4</c:f>
              <c:strCache>
                <c:ptCount val="1"/>
                <c:pt idx="0">
                  <c:v>Diversified Portfolios</c:v>
                </c:pt>
              </c:strCache>
            </c:strRef>
          </c:tx>
          <c:spPr>
            <a:solidFill>
              <a:srgbClr val="58C3B4"/>
            </a:solidFill>
            <a:ln>
              <a:solidFill>
                <a:schemeClr val="tx1"/>
              </a:solidFill>
            </a:ln>
            <a:effectLst/>
          </c:spPr>
          <c:invertIfNegative val="0"/>
          <c:dLbls>
            <c:dLbl>
              <c:idx val="0"/>
              <c:layout/>
              <c:tx>
                <c:rich>
                  <a:bodyPr/>
                  <a:lstStyle/>
                  <a:p>
                    <a:fld id="{2FAC235A-935B-4EF9-948C-E629C5DC197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F7B5-4FE6-B6AD-FF037B4CF4EB}"/>
                </c:ext>
              </c:extLst>
            </c:dLbl>
            <c:dLbl>
              <c:idx val="1"/>
              <c:layout/>
              <c:tx>
                <c:rich>
                  <a:bodyPr/>
                  <a:lstStyle/>
                  <a:p>
                    <a:fld id="{7D713DE7-9705-49F6-92BB-8B93F05644F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3-F7B5-4FE6-B6AD-FF037B4CF4EB}"/>
                </c:ext>
              </c:extLst>
            </c:dLbl>
            <c:dLbl>
              <c:idx val="2"/>
              <c:layout/>
              <c:tx>
                <c:rich>
                  <a:bodyPr/>
                  <a:lstStyle/>
                  <a:p>
                    <a:fld id="{E0B47FFA-B4DA-4A0D-A39D-15374084592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F7B5-4FE6-B6AD-FF037B4CF4EB}"/>
                </c:ext>
              </c:extLst>
            </c:dLbl>
            <c:dLbl>
              <c:idx val="3"/>
              <c:layout/>
              <c:tx>
                <c:rich>
                  <a:bodyPr/>
                  <a:lstStyle/>
                  <a:p>
                    <a:fld id="{10CD07FA-28C7-4935-82DB-3EAD682E9E8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5-F7B5-4FE6-B6AD-FF037B4CF4EB}"/>
                </c:ext>
              </c:extLst>
            </c:dLbl>
            <c:dLbl>
              <c:idx val="4"/>
              <c:layout/>
              <c:tx>
                <c:rich>
                  <a:bodyPr/>
                  <a:lstStyle/>
                  <a:p>
                    <a:fld id="{441F3647-8919-4478-95E2-A93FAE1C819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F7B5-4FE6-B6AD-FF037B4CF4EB}"/>
                </c:ext>
              </c:extLst>
            </c:dLbl>
            <c:dLbl>
              <c:idx val="5"/>
              <c:layout>
                <c:manualLayout>
                  <c:x val="-4.8397574133008235E-2"/>
                  <c:y val="-1.9597773153992738E-2"/>
                </c:manualLayout>
              </c:layout>
              <c:tx>
                <c:rich>
                  <a:bodyPr/>
                  <a:lstStyle/>
                  <a:p>
                    <a:fld id="{45F42C5C-939C-435A-9D78-85B238802E63}"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7-F7B5-4FE6-B6AD-FF037B4CF4EB}"/>
                </c:ext>
              </c:extLst>
            </c:dLbl>
            <c:dLbl>
              <c:idx val="6"/>
              <c:layout>
                <c:manualLayout>
                  <c:x val="-9.1184621253082611E-3"/>
                  <c:y val="-4.6274554129328363E-2"/>
                </c:manualLayout>
              </c:layout>
              <c:tx>
                <c:rich>
                  <a:bodyPr/>
                  <a:lstStyle/>
                  <a:p>
                    <a:fld id="{DCC5A655-0CD9-4DE1-9F35-83AF233490BE}"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8-F7B5-4FE6-B6AD-FF037B4CF4EB}"/>
                </c:ext>
              </c:extLst>
            </c:dLbl>
            <c:spPr>
              <a:noFill/>
              <a:ln>
                <a:noFill/>
              </a:ln>
              <a:effectLst/>
            </c:spPr>
            <c:txPr>
              <a:bodyPr rot="0" spcFirstLastPara="1" vertOverflow="ellipsis" vert="horz" wrap="square" anchor="ctr" anchorCtr="1"/>
              <a:lstStyle/>
              <a:p>
                <a:pPr>
                  <a:defRPr sz="1100" b="1" i="1"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xVal>
            <c:numRef>
              <c:f>Plot_Data!$P$6:$P$12</c:f>
              <c:numCache>
                <c:formatCode>0.00</c:formatCode>
                <c:ptCount val="7"/>
                <c:pt idx="0">
                  <c:v>0.37609267825589621</c:v>
                </c:pt>
                <c:pt idx="1">
                  <c:v>-5.4470935544611257E-2</c:v>
                </c:pt>
                <c:pt idx="2">
                  <c:v>0.69112059307509088</c:v>
                </c:pt>
                <c:pt idx="3">
                  <c:v>0.52951959725525344</c:v>
                </c:pt>
                <c:pt idx="4">
                  <c:v>1.3249103248338068</c:v>
                </c:pt>
                <c:pt idx="5">
                  <c:v>-4.9867279522662795E-2</c:v>
                </c:pt>
                <c:pt idx="6">
                  <c:v>1.3243143908290278</c:v>
                </c:pt>
              </c:numCache>
            </c:numRef>
          </c:xVal>
          <c:yVal>
            <c:numRef>
              <c:f>Plot_Data!$Q$6:$Q$12</c:f>
              <c:numCache>
                <c:formatCode>0.00</c:formatCode>
                <c:ptCount val="7"/>
                <c:pt idx="0">
                  <c:v>22.833307055282855</c:v>
                </c:pt>
                <c:pt idx="1">
                  <c:v>23.246543958925759</c:v>
                </c:pt>
                <c:pt idx="2">
                  <c:v>23.270266167553359</c:v>
                </c:pt>
                <c:pt idx="3">
                  <c:v>23.641991348718197</c:v>
                </c:pt>
                <c:pt idx="4">
                  <c:v>23.671190557229849</c:v>
                </c:pt>
                <c:pt idx="5">
                  <c:v>21.086702797645255</c:v>
                </c:pt>
                <c:pt idx="6">
                  <c:v>22.511398191198033</c:v>
                </c:pt>
              </c:numCache>
            </c:numRef>
          </c:yVal>
          <c:bubbleSize>
            <c:numRef>
              <c:f>Plot_Data!$R$6:$R$12</c:f>
              <c:numCache>
                <c:formatCode>0.00</c:formatCode>
                <c:ptCount val="7"/>
                <c:pt idx="0">
                  <c:v>2.6471231142528744</c:v>
                </c:pt>
                <c:pt idx="1">
                  <c:v>0.76568157554578531</c:v>
                </c:pt>
                <c:pt idx="2">
                  <c:v>3.9699728748214635</c:v>
                </c:pt>
                <c:pt idx="3">
                  <c:v>3.2397419466273618</c:v>
                </c:pt>
                <c:pt idx="4">
                  <c:v>6.5971427445973641</c:v>
                </c:pt>
                <c:pt idx="5">
                  <c:v>0.76351314854102537</c:v>
                </c:pt>
                <c:pt idx="6">
                  <c:v>6.8828615600910794</c:v>
                </c:pt>
              </c:numCache>
            </c:numRef>
          </c:bubbleSize>
          <c:bubble3D val="0"/>
          <c:extLst>
            <c:ext xmlns:c15="http://schemas.microsoft.com/office/drawing/2012/chart" uri="{02D57815-91ED-43cb-92C2-25804820EDAC}">
              <c15:datalabelsRange>
                <c15:f>Plot_Data!$N$6:$N$12</c15:f>
                <c15:dlblRangeCache>
                  <c:ptCount val="7"/>
                  <c:pt idx="0">
                    <c:v>11 A1</c:v>
                  </c:pt>
                  <c:pt idx="1">
                    <c:v>11 A2</c:v>
                  </c:pt>
                  <c:pt idx="2">
                    <c:v>11 A3</c:v>
                  </c:pt>
                  <c:pt idx="3">
                    <c:v>11 A4</c:v>
                  </c:pt>
                  <c:pt idx="4">
                    <c:v>11 A5</c:v>
                  </c:pt>
                  <c:pt idx="5">
                    <c:v>11 B1</c:v>
                  </c:pt>
                  <c:pt idx="6">
                    <c:v>11 B2</c:v>
                  </c:pt>
                </c15:dlblRangeCache>
              </c15:datalabelsRange>
            </c:ext>
            <c:ext xmlns:c16="http://schemas.microsoft.com/office/drawing/2014/chart" uri="{C3380CC4-5D6E-409C-BE32-E72D297353CC}">
              <c16:uniqueId val="{00000009-F7B5-4FE6-B6AD-FF037B4CF4EB}"/>
            </c:ext>
          </c:extLst>
        </c:ser>
        <c:ser>
          <c:idx val="1"/>
          <c:order val="2"/>
          <c:tx>
            <c:strRef>
              <c:f>Plot_Data!$G$4</c:f>
              <c:strCache>
                <c:ptCount val="1"/>
                <c:pt idx="0">
                  <c:v>Other Portfolios</c:v>
                </c:pt>
              </c:strCache>
              <c:extLst xmlns:c15="http://schemas.microsoft.com/office/drawing/2012/chart"/>
            </c:strRef>
          </c:tx>
          <c:spPr>
            <a:solidFill>
              <a:srgbClr val="C3E7E3"/>
            </a:solidFill>
            <a:ln w="9525">
              <a:solidFill>
                <a:schemeClr val="tx1"/>
              </a:solidFill>
            </a:ln>
            <a:effectLst/>
          </c:spPr>
          <c:invertIfNegative val="0"/>
          <c:dLbls>
            <c:dLbl>
              <c:idx val="0"/>
              <c:layout/>
              <c:tx>
                <c:rich>
                  <a:bodyPr/>
                  <a:lstStyle/>
                  <a:p>
                    <a:fld id="{CBF44A72-5D49-4A40-8DB9-0E71FCDEAA7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D-F7B5-4FE6-B6AD-FF037B4CF4EB}"/>
                </c:ext>
              </c:extLst>
            </c:dLbl>
            <c:dLbl>
              <c:idx val="1"/>
              <c:layout/>
              <c:tx>
                <c:rich>
                  <a:bodyPr/>
                  <a:lstStyle/>
                  <a:p>
                    <a:fld id="{F2883F78-C3AE-4253-9A82-928B5212EB2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E-F7B5-4FE6-B6AD-FF037B4CF4EB}"/>
                </c:ext>
              </c:extLst>
            </c:dLbl>
            <c:dLbl>
              <c:idx val="2"/>
              <c:layout/>
              <c:tx>
                <c:rich>
                  <a:bodyPr/>
                  <a:lstStyle/>
                  <a:p>
                    <a:fld id="{73CD43C1-1B2E-41FD-9418-DFFE8E1CDE5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F-F7B5-4FE6-B6AD-FF037B4CF4EB}"/>
                </c:ext>
              </c:extLst>
            </c:dLbl>
            <c:dLbl>
              <c:idx val="3"/>
              <c:layout>
                <c:manualLayout>
                  <c:x val="-4.1244827894863001E-2"/>
                  <c:y val="1.1555566176382733E-2"/>
                </c:manualLayout>
              </c:layout>
              <c:tx>
                <c:rich>
                  <a:bodyPr/>
                  <a:lstStyle/>
                  <a:p>
                    <a:fld id="{FD4C18AA-13FE-4E76-80DF-ED6E2CC9ADA2}"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0-F7B5-4FE6-B6AD-FF037B4CF4EB}"/>
                </c:ext>
              </c:extLst>
            </c:dLbl>
            <c:dLbl>
              <c:idx val="4"/>
              <c:layout/>
              <c:tx>
                <c:rich>
                  <a:bodyPr/>
                  <a:lstStyle/>
                  <a:p>
                    <a:fld id="{E82E5D5A-60B0-41E5-8E27-D113AE0727E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1-F7B5-4FE6-B6AD-FF037B4CF4EB}"/>
                </c:ext>
              </c:extLst>
            </c:dLbl>
            <c:dLbl>
              <c:idx val="5"/>
              <c:layout/>
              <c:tx>
                <c:rich>
                  <a:bodyPr/>
                  <a:lstStyle/>
                  <a:p>
                    <a:fld id="{27EEDBB2-20F8-475D-9E18-13935A58799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2-F7B5-4FE6-B6AD-FF037B4CF4EB}"/>
                </c:ext>
              </c:extLst>
            </c:dLbl>
            <c:dLbl>
              <c:idx val="6"/>
              <c:layout/>
              <c:tx>
                <c:rich>
                  <a:bodyPr/>
                  <a:lstStyle/>
                  <a:p>
                    <a:fld id="{1269658A-CC28-4FC7-9D05-B53236FC54F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3-F7B5-4FE6-B6AD-FF037B4CF4EB}"/>
                </c:ext>
              </c:extLst>
            </c:dLbl>
            <c:dLbl>
              <c:idx val="7"/>
              <c:layout/>
              <c:tx>
                <c:rich>
                  <a:bodyPr/>
                  <a:lstStyle/>
                  <a:p>
                    <a:fld id="{42FB5C9F-92ED-4858-A579-9F927C2969A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4-F7B5-4FE6-B6AD-FF037B4CF4EB}"/>
                </c:ext>
              </c:extLst>
            </c:dLbl>
            <c:dLbl>
              <c:idx val="8"/>
              <c:layout/>
              <c:tx>
                <c:rich>
                  <a:bodyPr/>
                  <a:lstStyle/>
                  <a:p>
                    <a:fld id="{CD454D5C-73F9-49FC-9D8F-4D4449D9AAC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3-83AE-414E-9AD2-2B69FF0EB2A1}"/>
                </c:ext>
              </c:extLst>
            </c:dLbl>
            <c:dLbl>
              <c:idx val="9"/>
              <c:layout/>
              <c:tx>
                <c:rich>
                  <a:bodyPr/>
                  <a:lstStyle/>
                  <a:p>
                    <a:fld id="{EED830F4-5EEB-49FC-A311-DF0E920E976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83AE-414E-9AD2-2B69FF0EB2A1}"/>
                </c:ext>
              </c:extLst>
            </c:dLbl>
            <c:dLbl>
              <c:idx val="10"/>
              <c:layout/>
              <c:tx>
                <c:rich>
                  <a:bodyPr/>
                  <a:lstStyle/>
                  <a:p>
                    <a:fld id="{23D15583-DC76-44D2-92E3-66C6497F62F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5-83AE-414E-9AD2-2B69FF0EB2A1}"/>
                </c:ext>
              </c:extLst>
            </c:dLbl>
            <c:spPr>
              <a:noFill/>
              <a:ln>
                <a:noFill/>
              </a:ln>
              <a:effectLst/>
            </c:spPr>
            <c:txPr>
              <a:bodyPr rot="0" spcFirstLastPara="1" vertOverflow="ellipsis" vert="horz" wrap="square" lIns="38100" tIns="19050" rIns="38100" bIns="19050" anchor="ctr" anchorCtr="1">
                <a:spAutoFit/>
              </a:bodyPr>
              <a:lstStyle/>
              <a:p>
                <a:pPr>
                  <a:defRPr sz="1100" b="1" i="1"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xVal>
            <c:numRef>
              <c:f>Plot_Data!$I$6:$I$16</c:f>
              <c:numCache>
                <c:formatCode>0.00</c:formatCode>
                <c:ptCount val="11"/>
                <c:pt idx="0">
                  <c:v>0.14407104590263572</c:v>
                </c:pt>
                <c:pt idx="1">
                  <c:v>0.43795074930463179</c:v>
                </c:pt>
                <c:pt idx="2">
                  <c:v>4.3621905399316138E-2</c:v>
                </c:pt>
                <c:pt idx="3">
                  <c:v>-8.4791467692201805E-3</c:v>
                </c:pt>
                <c:pt idx="4">
                  <c:v>-0.34192030849244059</c:v>
                </c:pt>
                <c:pt idx="5">
                  <c:v>-0.26493148737481675</c:v>
                </c:pt>
                <c:pt idx="6">
                  <c:v>-0.30137863362237943</c:v>
                </c:pt>
                <c:pt idx="7">
                  <c:v>-0.26066239097265942</c:v>
                </c:pt>
                <c:pt idx="8">
                  <c:v>0.45938105303188193</c:v>
                </c:pt>
                <c:pt idx="9">
                  <c:v>-0.23720614173632704</c:v>
                </c:pt>
                <c:pt idx="10">
                  <c:v>-1.4095776550465573</c:v>
                </c:pt>
              </c:numCache>
            </c:numRef>
          </c:xVal>
          <c:yVal>
            <c:numRef>
              <c:f>Plot_Data!$J$6:$J$16</c:f>
              <c:numCache>
                <c:formatCode>0.00</c:formatCode>
                <c:ptCount val="11"/>
                <c:pt idx="0">
                  <c:v>21.653798997941848</c:v>
                </c:pt>
                <c:pt idx="1">
                  <c:v>20.859553919278238</c:v>
                </c:pt>
                <c:pt idx="2">
                  <c:v>21.077209171618279</c:v>
                </c:pt>
                <c:pt idx="3">
                  <c:v>20.765250096881626</c:v>
                </c:pt>
                <c:pt idx="4">
                  <c:v>20.874577560431113</c:v>
                </c:pt>
                <c:pt idx="5">
                  <c:v>21.182535580371194</c:v>
                </c:pt>
                <c:pt idx="6">
                  <c:v>21.282063041680402</c:v>
                </c:pt>
                <c:pt idx="7">
                  <c:v>22.319807370332054</c:v>
                </c:pt>
                <c:pt idx="8">
                  <c:v>21.752056091785363</c:v>
                </c:pt>
                <c:pt idx="9">
                  <c:v>20.832597793563796</c:v>
                </c:pt>
                <c:pt idx="10">
                  <c:v>25.074316654892353</c:v>
                </c:pt>
              </c:numCache>
            </c:numRef>
          </c:yVal>
          <c:bubbleSize>
            <c:numRef>
              <c:f>Plot_Data!$K$6:$K$16</c:f>
              <c:numCache>
                <c:formatCode>0.00</c:formatCode>
                <c:ptCount val="11"/>
                <c:pt idx="0">
                  <c:v>1.6653384282191288</c:v>
                </c:pt>
                <c:pt idx="1">
                  <c:v>3.0995211642559677</c:v>
                </c:pt>
                <c:pt idx="2">
                  <c:v>1.2069624353211603</c:v>
                </c:pt>
                <c:pt idx="3">
                  <c:v>0.9591666523174045</c:v>
                </c:pt>
                <c:pt idx="4">
                  <c:v>0.63797474465097181</c:v>
                </c:pt>
                <c:pt idx="5">
                  <c:v>0.25070715150982981</c:v>
                </c:pt>
                <c:pt idx="6">
                  <c:v>0.41611568874754634</c:v>
                </c:pt>
                <c:pt idx="7">
                  <c:v>0.16785233244950493</c:v>
                </c:pt>
                <c:pt idx="8">
                  <c:v>3.1118971516691087</c:v>
                </c:pt>
                <c:pt idx="9">
                  <c:v>0.1386296806901901</c:v>
                </c:pt>
                <c:pt idx="10">
                  <c:v>0.1</c:v>
                </c:pt>
              </c:numCache>
            </c:numRef>
          </c:bubbleSize>
          <c:bubble3D val="0"/>
          <c:extLst xmlns:c15="http://schemas.microsoft.com/office/drawing/2012/chart">
            <c:ext xmlns:c15="http://schemas.microsoft.com/office/drawing/2012/chart" uri="{02D57815-91ED-43cb-92C2-25804820EDAC}">
              <c15:datalabelsRange>
                <c15:f>Plot_Data!$G$6:$G$16</c15:f>
                <c15:dlblRangeCache>
                  <c:ptCount val="11"/>
                  <c:pt idx="0">
                    <c:v>2</c:v>
                  </c:pt>
                  <c:pt idx="1">
                    <c:v>3</c:v>
                  </c:pt>
                  <c:pt idx="2">
                    <c:v>4</c:v>
                  </c:pt>
                  <c:pt idx="3">
                    <c:v>5</c:v>
                  </c:pt>
                  <c:pt idx="4">
                    <c:v>6</c:v>
                  </c:pt>
                  <c:pt idx="5">
                    <c:v>7</c:v>
                  </c:pt>
                  <c:pt idx="6">
                    <c:v>8</c:v>
                  </c:pt>
                  <c:pt idx="7">
                    <c:v>9</c:v>
                  </c:pt>
                  <c:pt idx="8">
                    <c:v>10</c:v>
                  </c:pt>
                  <c:pt idx="9">
                    <c:v>13</c:v>
                  </c:pt>
                  <c:pt idx="10">
                    <c:v>14</c:v>
                  </c:pt>
                </c15:dlblRangeCache>
              </c15:datalabelsRange>
            </c:ext>
            <c:ext xmlns:c16="http://schemas.microsoft.com/office/drawing/2014/chart" uri="{C3380CC4-5D6E-409C-BE32-E72D297353CC}">
              <c16:uniqueId val="{00000018-F7B5-4FE6-B6AD-FF037B4CF4EB}"/>
            </c:ext>
          </c:extLst>
        </c:ser>
        <c:dLbls>
          <c:dLblPos val="ctr"/>
          <c:showLegendKey val="0"/>
          <c:showVal val="1"/>
          <c:showCatName val="0"/>
          <c:showSerName val="0"/>
          <c:showPercent val="0"/>
          <c:showBubbleSize val="0"/>
        </c:dLbls>
        <c:bubbleScale val="20"/>
        <c:showNegBubbles val="1"/>
        <c:axId val="467837168"/>
        <c:axId val="467837496"/>
        <c:extLst/>
      </c:bubbleChart>
      <c:valAx>
        <c:axId val="467837168"/>
        <c:scaling>
          <c:orientation val="minMax"/>
          <c:max val="2"/>
          <c:min val="-0.5"/>
        </c:scaling>
        <c:delete val="0"/>
        <c:axPos val="b"/>
        <c:title>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a:t>CBI Index</a:t>
                </a:r>
              </a:p>
            </c:rich>
          </c:tx>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67837496"/>
        <c:crosses val="autoZero"/>
        <c:crossBetween val="midCat"/>
      </c:valAx>
      <c:valAx>
        <c:axId val="467837496"/>
        <c:scaling>
          <c:orientation val="minMax"/>
          <c:max val="26"/>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a:t>Total  Portfolio Cost ($ Billions)</a:t>
                </a:r>
              </a:p>
            </c:rich>
          </c:tx>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67837168"/>
        <c:crosses val="autoZero"/>
        <c:crossBetween val="midCat"/>
      </c:valAx>
      <c:spPr>
        <a:noFill/>
        <a:ln>
          <a:solidFill>
            <a:schemeClr val="bg1">
              <a:lumMod val="85000"/>
            </a:schemeClr>
          </a:solidFill>
        </a:ln>
        <a:effectLst/>
      </c:spPr>
    </c:plotArea>
    <c:legend>
      <c:legendPos val="r"/>
      <c:layout>
        <c:manualLayout>
          <c:xMode val="edge"/>
          <c:yMode val="edge"/>
          <c:x val="0.64639472871171633"/>
          <c:y val="0.60946060801580382"/>
          <c:w val="0.21132437653214139"/>
          <c:h val="0.12908064792356191"/>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8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58225" cy="6276975"/>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7</xdr:col>
      <xdr:colOff>201083</xdr:colOff>
      <xdr:row>13</xdr:row>
      <xdr:rowOff>105833</xdr:rowOff>
    </xdr:from>
    <xdr:to>
      <xdr:col>7</xdr:col>
      <xdr:colOff>1989666</xdr:colOff>
      <xdr:row>13</xdr:row>
      <xdr:rowOff>444501</xdr:rowOff>
    </xdr:to>
    <xdr:sp macro="" textlink="">
      <xdr:nvSpPr>
        <xdr:cNvPr id="2" name="Right Arrow 1">
          <a:extLst>
            <a:ext uri="{FF2B5EF4-FFF2-40B4-BE49-F238E27FC236}">
              <a16:creationId xmlns:a16="http://schemas.microsoft.com/office/drawing/2014/main" id="{00000000-0008-0000-1000-000002000000}"/>
            </a:ext>
          </a:extLst>
        </xdr:cNvPr>
        <xdr:cNvSpPr/>
      </xdr:nvSpPr>
      <xdr:spPr>
        <a:xfrm>
          <a:off x="8561916" y="878416"/>
          <a:ext cx="1788583" cy="338668"/>
        </a:xfrm>
        <a:prstGeom prst="rightArrow">
          <a:avLst/>
        </a:prstGeom>
        <a:solidFill>
          <a:srgbClr val="58C3B4"/>
        </a:solidFill>
        <a:ln>
          <a:solidFill>
            <a:srgbClr val="00667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0.04276</cdr:x>
      <cdr:y>0.88236</cdr:y>
    </cdr:from>
    <cdr:to>
      <cdr:x>0.92462</cdr:x>
      <cdr:y>0.95304</cdr:y>
    </cdr:to>
    <cdr:sp macro="" textlink="">
      <cdr:nvSpPr>
        <cdr:cNvPr id="3" name="Right Arrow 2"/>
        <cdr:cNvSpPr/>
      </cdr:nvSpPr>
      <cdr:spPr>
        <a:xfrm xmlns:a="http://schemas.openxmlformats.org/drawingml/2006/main">
          <a:off x="370805" y="5540203"/>
          <a:ext cx="7647128" cy="443792"/>
        </a:xfrm>
        <a:prstGeom xmlns:a="http://schemas.openxmlformats.org/drawingml/2006/main" prst="rightArrow">
          <a:avLst/>
        </a:prstGeom>
        <a:solidFill xmlns:a="http://schemas.openxmlformats.org/drawingml/2006/main">
          <a:srgbClr val="006671"/>
        </a:solidFill>
        <a:ln xmlns:a="http://schemas.openxmlformats.org/drawingml/2006/main">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100">
              <a:latin typeface="Arial" panose="020B0604020202020204" pitchFamily="34" charset="0"/>
              <a:cs typeface="Arial" panose="020B0604020202020204" pitchFamily="34" charset="0"/>
            </a:rPr>
            <a:t>Maximize CBI Index</a:t>
          </a:r>
        </a:p>
      </cdr:txBody>
    </cdr:sp>
  </cdr:relSizeAnchor>
  <cdr:relSizeAnchor xmlns:cdr="http://schemas.openxmlformats.org/drawingml/2006/chartDrawing">
    <cdr:from>
      <cdr:x>0.94172</cdr:x>
      <cdr:y>0.04315</cdr:y>
    </cdr:from>
    <cdr:to>
      <cdr:x>0.99296</cdr:x>
      <cdr:y>0.81189</cdr:y>
    </cdr:to>
    <cdr:sp macro="" textlink="">
      <cdr:nvSpPr>
        <cdr:cNvPr id="4" name="Right Arrow 3"/>
        <cdr:cNvSpPr/>
      </cdr:nvSpPr>
      <cdr:spPr>
        <a:xfrm xmlns:a="http://schemas.openxmlformats.org/drawingml/2006/main" rot="5400000">
          <a:off x="5974935" y="2462182"/>
          <a:ext cx="4826824" cy="444331"/>
        </a:xfrm>
        <a:prstGeom xmlns:a="http://schemas.openxmlformats.org/drawingml/2006/main" prst="rightArrow">
          <a:avLst/>
        </a:prstGeom>
        <a:solidFill xmlns:a="http://schemas.openxmlformats.org/drawingml/2006/main">
          <a:srgbClr val="006671"/>
        </a:solidFill>
        <a:ln xmlns:a="http://schemas.openxmlformats.org/drawingml/2006/main">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100">
              <a:latin typeface="Arial" panose="020B0604020202020204" pitchFamily="34" charset="0"/>
              <a:cs typeface="Arial" panose="020B0604020202020204" pitchFamily="34" charset="0"/>
            </a:rPr>
            <a:t>Minimize </a:t>
          </a:r>
          <a:r>
            <a:rPr lang="en-US" sz="1100" baseline="0">
              <a:latin typeface="Arial" panose="020B0604020202020204" pitchFamily="34" charset="0"/>
              <a:cs typeface="Arial" panose="020B0604020202020204" pitchFamily="34" charset="0"/>
            </a:rPr>
            <a:t>Portfolio Cost</a:t>
          </a:r>
          <a:endParaRPr lang="en-US" sz="11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0.05427</cdr:x>
      <cdr:y>0.05665</cdr:y>
    </cdr:from>
    <cdr:to>
      <cdr:x>0.20466</cdr:x>
      <cdr:y>0.13241</cdr:y>
    </cdr:to>
    <cdr:grpSp>
      <cdr:nvGrpSpPr>
        <cdr:cNvPr id="9" name="Group 8"/>
        <cdr:cNvGrpSpPr/>
      </cdr:nvGrpSpPr>
      <cdr:grpSpPr>
        <a:xfrm xmlns:a="http://schemas.openxmlformats.org/drawingml/2006/main">
          <a:off x="469882" y="355591"/>
          <a:ext cx="1302110" cy="475543"/>
          <a:chOff x="0" y="0"/>
          <a:chExt cx="1302110" cy="475544"/>
        </a:xfrm>
      </cdr:grpSpPr>
      <cdr:sp macro="" textlink="">
        <cdr:nvSpPr>
          <cdr:cNvPr id="10" name="TextBox 2"/>
          <cdr:cNvSpPr txBox="1"/>
        </cdr:nvSpPr>
        <cdr:spPr>
          <a:xfrm xmlns:a="http://schemas.openxmlformats.org/drawingml/2006/main">
            <a:off x="0" y="0"/>
            <a:ext cx="1302110" cy="4469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50">
                <a:effectLst/>
                <a:latin typeface="Arial" panose="020B0604020202020204" pitchFamily="34" charset="0"/>
                <a:ea typeface="+mn-ea"/>
                <a:cs typeface="Arial" panose="020B0604020202020204" pitchFamily="34" charset="0"/>
              </a:rPr>
              <a:t>14</a:t>
            </a:r>
            <a:r>
              <a:rPr lang="en-US" sz="1050" baseline="0">
                <a:effectLst/>
                <a:latin typeface="Arial" panose="020B0604020202020204" pitchFamily="34" charset="0"/>
                <a:ea typeface="+mn-ea"/>
                <a:cs typeface="Arial" panose="020B0604020202020204" pitchFamily="34" charset="0"/>
              </a:rPr>
              <a:t> out of range at: </a:t>
            </a:r>
          </a:p>
          <a:p xmlns:a="http://schemas.openxmlformats.org/drawingml/2006/main">
            <a:r>
              <a:rPr lang="en-US" sz="1050" baseline="0">
                <a:effectLst/>
                <a:latin typeface="Arial" panose="020B0604020202020204" pitchFamily="34" charset="0"/>
                <a:ea typeface="+mn-ea"/>
                <a:cs typeface="Arial" panose="020B0604020202020204" pitchFamily="34" charset="0"/>
              </a:rPr>
              <a:t>(-1.4, $25)</a:t>
            </a:r>
          </a:p>
        </cdr:txBody>
      </cdr:sp>
      <cdr:cxnSp macro="">
        <cdr:nvCxnSpPr>
          <cdr:cNvPr id="11" name="Straight Arrow Connector 10"/>
          <cdr:cNvCxnSpPr/>
        </cdr:nvCxnSpPr>
        <cdr:spPr>
          <a:xfrm xmlns:a="http://schemas.openxmlformats.org/drawingml/2006/main" flipH="1">
            <a:off x="123552" y="475544"/>
            <a:ext cx="313688" cy="0"/>
          </a:xfrm>
          <a:prstGeom xmlns:a="http://schemas.openxmlformats.org/drawingml/2006/main" prst="straightConnector1">
            <a:avLst/>
          </a:prstGeom>
          <a:ln xmlns:a="http://schemas.openxmlformats.org/drawingml/2006/main">
            <a:solidFill>
              <a:srgbClr val="00667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0.66117</cdr:x>
      <cdr:y>0.73748</cdr:y>
    </cdr:from>
    <cdr:to>
      <cdr:x>0.84708</cdr:x>
      <cdr:y>0.78149</cdr:y>
    </cdr:to>
    <cdr:grpSp>
      <cdr:nvGrpSpPr>
        <cdr:cNvPr id="6" name="Group 5"/>
        <cdr:cNvGrpSpPr/>
      </cdr:nvGrpSpPr>
      <cdr:grpSpPr>
        <a:xfrm xmlns:a="http://schemas.openxmlformats.org/drawingml/2006/main">
          <a:off x="5724559" y="4629144"/>
          <a:ext cx="1609650" cy="276249"/>
          <a:chOff x="6019800" y="4629150"/>
          <a:chExt cx="1609726" cy="276225"/>
        </a:xfrm>
      </cdr:grpSpPr>
      <cdr:sp macro="" textlink="">
        <cdr:nvSpPr>
          <cdr:cNvPr id="2" name="Oval 1"/>
          <cdr:cNvSpPr/>
        </cdr:nvSpPr>
        <cdr:spPr>
          <a:xfrm xmlns:a="http://schemas.openxmlformats.org/drawingml/2006/main">
            <a:off x="6019800" y="4666297"/>
            <a:ext cx="182880" cy="182880"/>
          </a:xfrm>
          <a:prstGeom xmlns:a="http://schemas.openxmlformats.org/drawingml/2006/main" prst="ellipse">
            <a:avLst/>
          </a:prstGeom>
          <a:noFill xmlns:a="http://schemas.openxmlformats.org/drawingml/2006/main"/>
          <a:ln xmlns:a="http://schemas.openxmlformats.org/drawingml/2006/main" w="19050">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sp macro="" textlink="">
        <cdr:nvSpPr>
          <cdr:cNvPr id="5" name="TextBox 4"/>
          <cdr:cNvSpPr txBox="1"/>
        </cdr:nvSpPr>
        <cdr:spPr>
          <a:xfrm xmlns:a="http://schemas.openxmlformats.org/drawingml/2006/main">
            <a:off x="6153150" y="4629150"/>
            <a:ext cx="1476376" cy="2762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aseline="0">
                <a:latin typeface="Arial" panose="020B0604020202020204" pitchFamily="34" charset="0"/>
                <a:cs typeface="Arial" panose="020B0604020202020204" pitchFamily="34" charset="0"/>
              </a:rPr>
              <a:t>Size = Efficiency Measure</a:t>
            </a:r>
          </a:p>
        </cdr:txBody>
      </cdr:sp>
    </cdr:grpSp>
  </cdr:relSizeAnchor>
</c:userShapes>
</file>

<file path=xl/drawings/drawing3.xml><?xml version="1.0" encoding="utf-8"?>
<xdr:wsDr xmlns:xdr="http://schemas.openxmlformats.org/drawingml/2006/spreadsheetDrawing" xmlns:a="http://schemas.openxmlformats.org/drawingml/2006/main">
  <xdr:twoCellAnchor>
    <xdr:from>
      <xdr:col>7</xdr:col>
      <xdr:colOff>0</xdr:colOff>
      <xdr:row>1</xdr:row>
      <xdr:rowOff>0</xdr:rowOff>
    </xdr:from>
    <xdr:to>
      <xdr:col>16</xdr:col>
      <xdr:colOff>342900</xdr:colOff>
      <xdr:row>15</xdr:row>
      <xdr:rowOff>76200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9229725" y="190500"/>
          <a:ext cx="695325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57150</xdr:colOff>
      <xdr:row>0</xdr:row>
      <xdr:rowOff>28575</xdr:rowOff>
    </xdr:from>
    <xdr:to>
      <xdr:col>15</xdr:col>
      <xdr:colOff>95250</xdr:colOff>
      <xdr:row>14</xdr:row>
      <xdr:rowOff>171450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9696450" y="28575"/>
          <a:ext cx="695325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21167</xdr:colOff>
      <xdr:row>0</xdr:row>
      <xdr:rowOff>42334</xdr:rowOff>
    </xdr:from>
    <xdr:to>
      <xdr:col>17</xdr:col>
      <xdr:colOff>95251</xdr:colOff>
      <xdr:row>14</xdr:row>
      <xdr:rowOff>65617</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4392084" y="42334"/>
          <a:ext cx="695325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57150</xdr:colOff>
      <xdr:row>0</xdr:row>
      <xdr:rowOff>104775</xdr:rowOff>
    </xdr:from>
    <xdr:to>
      <xdr:col>14</xdr:col>
      <xdr:colOff>247650</xdr:colOff>
      <xdr:row>14</xdr:row>
      <xdr:rowOff>180975</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3581400" y="104775"/>
          <a:ext cx="6915150" cy="160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200025</xdr:colOff>
      <xdr:row>0</xdr:row>
      <xdr:rowOff>104775</xdr:rowOff>
    </xdr:from>
    <xdr:to>
      <xdr:col>9</xdr:col>
      <xdr:colOff>933450</xdr:colOff>
      <xdr:row>7</xdr:row>
      <xdr:rowOff>76200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4972050" y="104775"/>
          <a:ext cx="6905625" cy="1495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0</xdr:row>
      <xdr:rowOff>0</xdr:rowOff>
    </xdr:from>
    <xdr:to>
      <xdr:col>15</xdr:col>
      <xdr:colOff>152400</xdr:colOff>
      <xdr:row>4</xdr:row>
      <xdr:rowOff>171450</xdr:rowOff>
    </xdr:to>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4781550" y="0"/>
          <a:ext cx="6858000" cy="1314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685800</xdr:colOff>
      <xdr:row>6</xdr:row>
      <xdr:rowOff>38100</xdr:rowOff>
    </xdr:to>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5867400" y="0"/>
          <a:ext cx="6629400" cy="1371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ia.gov/electricity/data/eia861/" TargetMode="External"/><Relationship Id="rId2" Type="http://schemas.openxmlformats.org/officeDocument/2006/relationships/hyperlink" Target="https://www.eia.gov/electricity/data/eia860/" TargetMode="External"/><Relationship Id="rId1" Type="http://schemas.openxmlformats.org/officeDocument/2006/relationships/hyperlink" Target="https://www.energy.gov/sites/default/files/2022-06/USEER%202022%20National%20Report_1.pdf" TargetMode="External"/><Relationship Id="rId4" Type="http://schemas.openxmlformats.org/officeDocument/2006/relationships/hyperlink" Target="https://www.eia.gov/electricity/data/eia861m/"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eia.gov/electricity/data/eia861/" TargetMode="External"/><Relationship Id="rId2" Type="http://schemas.openxmlformats.org/officeDocument/2006/relationships/hyperlink" Target="https://www.eia.gov/electricity/data/eia860/" TargetMode="External"/><Relationship Id="rId1" Type="http://schemas.openxmlformats.org/officeDocument/2006/relationships/hyperlink" Target="https://www.energy.gov/sites/default/files/2022-06/USEER%202022%20National%20Report_1.pdf" TargetMode="External"/><Relationship Id="rId5" Type="http://schemas.openxmlformats.org/officeDocument/2006/relationships/drawing" Target="../drawings/drawing10.xml"/><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T69"/>
  <sheetViews>
    <sheetView zoomScale="90" zoomScaleNormal="90" workbookViewId="0">
      <selection activeCell="B11" sqref="B11"/>
    </sheetView>
  </sheetViews>
  <sheetFormatPr defaultRowHeight="14.4" x14ac:dyDescent="0.3"/>
  <cols>
    <col min="1" max="1" width="16.6640625" customWidth="1"/>
    <col min="2" max="6" width="19.44140625" customWidth="1"/>
    <col min="7" max="7" width="93.44140625" customWidth="1"/>
  </cols>
  <sheetData>
    <row r="1" spans="1:8" ht="30" x14ac:dyDescent="0.5">
      <c r="A1" s="256" t="s">
        <v>0</v>
      </c>
      <c r="B1" s="68"/>
      <c r="C1" s="68"/>
      <c r="D1" s="68"/>
      <c r="E1" s="68"/>
      <c r="F1" s="68"/>
      <c r="G1" s="120"/>
    </row>
    <row r="2" spans="1:8" x14ac:dyDescent="0.3">
      <c r="A2" s="139"/>
      <c r="B2" s="49"/>
      <c r="C2" s="49"/>
      <c r="D2" s="49"/>
      <c r="E2" s="49"/>
      <c r="F2" s="49"/>
      <c r="G2" s="138"/>
    </row>
    <row r="3" spans="1:8" x14ac:dyDescent="0.3">
      <c r="A3" s="139"/>
      <c r="B3" s="49"/>
      <c r="C3" s="49"/>
      <c r="D3" s="49"/>
      <c r="E3" s="49"/>
      <c r="F3" s="49"/>
      <c r="G3" s="138"/>
    </row>
    <row r="4" spans="1:8" ht="23.4" x14ac:dyDescent="0.45">
      <c r="A4" s="146" t="s">
        <v>1</v>
      </c>
      <c r="B4" s="49"/>
      <c r="C4" s="49"/>
      <c r="D4" s="49"/>
      <c r="E4" s="49"/>
      <c r="F4" s="49"/>
      <c r="G4" s="138"/>
    </row>
    <row r="5" spans="1:8" ht="70.95" customHeight="1" x14ac:dyDescent="0.3">
      <c r="A5" s="262" t="s">
        <v>408</v>
      </c>
      <c r="B5" s="263"/>
      <c r="C5" s="263"/>
      <c r="D5" s="263"/>
      <c r="E5" s="263"/>
      <c r="F5" s="263"/>
      <c r="G5" s="264"/>
      <c r="H5" s="144"/>
    </row>
    <row r="6" spans="1:8" ht="79.8" customHeight="1" x14ac:dyDescent="0.3">
      <c r="A6" s="265" t="s">
        <v>413</v>
      </c>
      <c r="B6" s="266"/>
      <c r="C6" s="266"/>
      <c r="D6" s="266"/>
      <c r="E6" s="266"/>
      <c r="F6" s="266"/>
      <c r="G6" s="267"/>
      <c r="H6" s="145"/>
    </row>
    <row r="7" spans="1:8" ht="40.5" customHeight="1" x14ac:dyDescent="0.3">
      <c r="A7" s="268" t="s">
        <v>411</v>
      </c>
      <c r="B7" s="269"/>
      <c r="C7" s="269"/>
      <c r="D7" s="269"/>
      <c r="E7" s="269"/>
      <c r="F7" s="269"/>
      <c r="G7" s="270"/>
      <c r="H7" s="145"/>
    </row>
    <row r="8" spans="1:8" ht="45.75" customHeight="1" x14ac:dyDescent="0.3">
      <c r="A8" s="265" t="s">
        <v>2</v>
      </c>
      <c r="B8" s="266"/>
      <c r="C8" s="266"/>
      <c r="D8" s="266"/>
      <c r="E8" s="266"/>
      <c r="F8" s="266"/>
      <c r="G8" s="267"/>
      <c r="H8" s="145"/>
    </row>
    <row r="9" spans="1:8" ht="113.4" customHeight="1" x14ac:dyDescent="0.3">
      <c r="A9" s="271" t="s">
        <v>412</v>
      </c>
      <c r="B9" s="272"/>
      <c r="C9" s="272"/>
      <c r="D9" s="272"/>
      <c r="E9" s="272"/>
      <c r="F9" s="272"/>
      <c r="G9" s="273"/>
      <c r="H9" s="145"/>
    </row>
    <row r="10" spans="1:8" x14ac:dyDescent="0.3">
      <c r="A10" s="139"/>
      <c r="B10" s="49"/>
      <c r="C10" s="49"/>
      <c r="D10" s="49"/>
      <c r="E10" s="49"/>
      <c r="F10" s="49"/>
      <c r="G10" s="138"/>
    </row>
    <row r="11" spans="1:8" x14ac:dyDescent="0.3">
      <c r="A11" s="139"/>
      <c r="B11" s="49"/>
      <c r="C11" s="49"/>
      <c r="D11" s="49"/>
      <c r="E11" s="49"/>
      <c r="F11" s="49"/>
      <c r="G11" s="138"/>
    </row>
    <row r="12" spans="1:8" ht="23.4" x14ac:dyDescent="0.45">
      <c r="A12" s="147" t="s">
        <v>3</v>
      </c>
      <c r="B12" s="49"/>
      <c r="C12" s="49"/>
      <c r="D12" s="49"/>
      <c r="E12" s="49"/>
      <c r="F12" s="49"/>
      <c r="G12" s="138"/>
    </row>
    <row r="13" spans="1:8" x14ac:dyDescent="0.3">
      <c r="A13" s="134"/>
      <c r="B13" s="68" t="s">
        <v>4</v>
      </c>
      <c r="C13" s="68"/>
      <c r="D13" s="68"/>
      <c r="E13" s="68"/>
      <c r="F13" s="68"/>
      <c r="G13" s="120"/>
    </row>
    <row r="14" spans="1:8" ht="32.25" customHeight="1" x14ac:dyDescent="0.3">
      <c r="A14" s="135"/>
      <c r="B14" s="49" t="s">
        <v>5</v>
      </c>
      <c r="C14" s="49"/>
      <c r="D14" s="49"/>
      <c r="E14" s="49"/>
      <c r="F14" s="49"/>
      <c r="G14" s="138"/>
      <c r="H14" s="1"/>
    </row>
    <row r="15" spans="1:8" x14ac:dyDescent="0.3">
      <c r="A15" s="151" t="s">
        <v>6</v>
      </c>
      <c r="B15" s="260" t="s">
        <v>7</v>
      </c>
      <c r="C15" s="260"/>
      <c r="D15" s="260"/>
      <c r="E15" s="260"/>
      <c r="F15" s="260"/>
      <c r="G15" s="261"/>
    </row>
    <row r="16" spans="1:8" x14ac:dyDescent="0.3">
      <c r="A16" s="139"/>
      <c r="B16" s="49"/>
      <c r="C16" s="49"/>
      <c r="D16" s="49"/>
      <c r="E16" s="49"/>
      <c r="F16" s="49"/>
      <c r="G16" s="138"/>
    </row>
    <row r="17" spans="1:20" x14ac:dyDescent="0.3">
      <c r="A17" s="140"/>
      <c r="B17" s="69"/>
      <c r="C17" s="69"/>
      <c r="D17" s="69"/>
      <c r="E17" s="69"/>
      <c r="F17" s="69"/>
      <c r="G17" s="141"/>
    </row>
    <row r="18" spans="1:20" x14ac:dyDescent="0.3">
      <c r="A18" s="139"/>
      <c r="B18" s="49"/>
      <c r="C18" s="49"/>
      <c r="D18" s="49"/>
      <c r="E18" s="49"/>
      <c r="F18" s="49"/>
      <c r="G18" s="138"/>
    </row>
    <row r="19" spans="1:20" ht="23.4" x14ac:dyDescent="0.45">
      <c r="A19" s="147" t="s">
        <v>8</v>
      </c>
      <c r="B19" s="49"/>
      <c r="C19" s="49"/>
      <c r="D19" s="49"/>
      <c r="E19" s="49"/>
      <c r="F19" s="49"/>
      <c r="G19" s="138"/>
      <c r="J19" s="1"/>
      <c r="K19" s="1"/>
      <c r="L19" s="1"/>
      <c r="M19" s="1"/>
      <c r="N19" s="1"/>
      <c r="O19" s="1"/>
      <c r="P19" s="1"/>
      <c r="Q19" s="1"/>
      <c r="R19" s="1"/>
      <c r="S19" s="1"/>
      <c r="T19" s="1"/>
    </row>
    <row r="20" spans="1:20" ht="28.8" x14ac:dyDescent="0.3">
      <c r="A20" s="39" t="s">
        <v>9</v>
      </c>
      <c r="B20" s="39" t="s">
        <v>10</v>
      </c>
      <c r="C20" s="39" t="s">
        <v>11</v>
      </c>
      <c r="D20" s="39" t="s">
        <v>12</v>
      </c>
      <c r="E20" s="39" t="s">
        <v>13</v>
      </c>
      <c r="F20" s="258" t="s">
        <v>14</v>
      </c>
      <c r="G20" s="259"/>
      <c r="H20" s="143"/>
    </row>
    <row r="21" spans="1:20" ht="28.8" x14ac:dyDescent="0.3">
      <c r="A21" s="38" t="s">
        <v>15</v>
      </c>
      <c r="B21" s="38" t="s">
        <v>16</v>
      </c>
      <c r="C21" s="38" t="s">
        <v>17</v>
      </c>
      <c r="D21" s="38" t="s">
        <v>18</v>
      </c>
      <c r="E21" s="38" t="s">
        <v>19</v>
      </c>
      <c r="F21" s="257" t="s">
        <v>20</v>
      </c>
      <c r="G21" s="257"/>
    </row>
    <row r="22" spans="1:20" ht="29.4" x14ac:dyDescent="0.35">
      <c r="A22" s="38" t="s">
        <v>21</v>
      </c>
      <c r="B22" s="38" t="s">
        <v>16</v>
      </c>
      <c r="C22" s="38" t="s">
        <v>22</v>
      </c>
      <c r="D22" s="38" t="s">
        <v>23</v>
      </c>
      <c r="E22" s="38" t="s">
        <v>19</v>
      </c>
      <c r="F22" s="257" t="s">
        <v>24</v>
      </c>
      <c r="G22" s="257"/>
    </row>
    <row r="23" spans="1:20" ht="28.8" x14ac:dyDescent="0.3">
      <c r="A23" s="38" t="s">
        <v>25</v>
      </c>
      <c r="B23" s="38" t="s">
        <v>16</v>
      </c>
      <c r="C23" s="38" t="s">
        <v>22</v>
      </c>
      <c r="D23" s="38" t="s">
        <v>23</v>
      </c>
      <c r="E23" s="38" t="s">
        <v>19</v>
      </c>
      <c r="F23" s="257" t="s">
        <v>26</v>
      </c>
      <c r="G23" s="257"/>
    </row>
    <row r="24" spans="1:20" ht="28.8" x14ac:dyDescent="0.3">
      <c r="A24" s="38" t="s">
        <v>27</v>
      </c>
      <c r="B24" s="38" t="s">
        <v>16</v>
      </c>
      <c r="C24" s="38" t="s">
        <v>22</v>
      </c>
      <c r="D24" s="38" t="s">
        <v>23</v>
      </c>
      <c r="E24" s="38" t="s">
        <v>19</v>
      </c>
      <c r="F24" s="257" t="s">
        <v>28</v>
      </c>
      <c r="G24" s="257"/>
    </row>
    <row r="25" spans="1:20" ht="51" customHeight="1" x14ac:dyDescent="0.3">
      <c r="A25" s="38" t="s">
        <v>29</v>
      </c>
      <c r="B25" s="38" t="s">
        <v>30</v>
      </c>
      <c r="C25" s="38" t="s">
        <v>31</v>
      </c>
      <c r="D25" s="38" t="s">
        <v>32</v>
      </c>
      <c r="E25" s="38" t="s">
        <v>33</v>
      </c>
      <c r="F25" s="257" t="s">
        <v>34</v>
      </c>
      <c r="G25" s="257"/>
    </row>
    <row r="26" spans="1:20" ht="28.8" x14ac:dyDescent="0.3">
      <c r="A26" s="38" t="s">
        <v>35</v>
      </c>
      <c r="B26" s="38" t="s">
        <v>36</v>
      </c>
      <c r="C26" s="38" t="s">
        <v>37</v>
      </c>
      <c r="D26" s="38" t="s">
        <v>38</v>
      </c>
      <c r="E26" s="38" t="s">
        <v>19</v>
      </c>
      <c r="F26" s="257" t="s">
        <v>39</v>
      </c>
      <c r="G26" s="257"/>
    </row>
    <row r="27" spans="1:20" ht="28.8" x14ac:dyDescent="0.3">
      <c r="A27" s="38" t="s">
        <v>40</v>
      </c>
      <c r="B27" s="38" t="s">
        <v>41</v>
      </c>
      <c r="C27" s="38" t="s">
        <v>42</v>
      </c>
      <c r="D27" s="38" t="s">
        <v>43</v>
      </c>
      <c r="E27" s="38" t="s">
        <v>33</v>
      </c>
      <c r="F27" s="257" t="s">
        <v>44</v>
      </c>
      <c r="G27" s="257"/>
    </row>
    <row r="28" spans="1:20" ht="43.2" x14ac:dyDescent="0.3">
      <c r="A28" s="38" t="s">
        <v>45</v>
      </c>
      <c r="B28" s="38" t="s">
        <v>46</v>
      </c>
      <c r="C28" s="38" t="s">
        <v>31</v>
      </c>
      <c r="D28" s="38" t="s">
        <v>47</v>
      </c>
      <c r="E28" s="38" t="s">
        <v>33</v>
      </c>
      <c r="F28" s="257" t="s">
        <v>48</v>
      </c>
      <c r="G28" s="257"/>
    </row>
    <row r="29" spans="1:20" ht="43.2" x14ac:dyDescent="0.3">
      <c r="A29" s="38" t="s">
        <v>49</v>
      </c>
      <c r="B29" s="38" t="s">
        <v>41</v>
      </c>
      <c r="C29" s="38" t="s">
        <v>31</v>
      </c>
      <c r="D29" s="38" t="s">
        <v>47</v>
      </c>
      <c r="E29" s="38" t="s">
        <v>33</v>
      </c>
      <c r="F29" s="257" t="s">
        <v>50</v>
      </c>
      <c r="G29" s="257"/>
    </row>
    <row r="30" spans="1:20" ht="43.2" x14ac:dyDescent="0.3">
      <c r="A30" s="38" t="s">
        <v>51</v>
      </c>
      <c r="B30" s="38" t="s">
        <v>46</v>
      </c>
      <c r="C30" s="38" t="s">
        <v>31</v>
      </c>
      <c r="D30" s="38" t="s">
        <v>47</v>
      </c>
      <c r="E30" s="38" t="s">
        <v>33</v>
      </c>
      <c r="F30" s="257" t="s">
        <v>52</v>
      </c>
      <c r="G30" s="257"/>
    </row>
    <row r="31" spans="1:20" ht="28.8" x14ac:dyDescent="0.3">
      <c r="A31" s="38" t="s">
        <v>53</v>
      </c>
      <c r="B31" s="38" t="s">
        <v>46</v>
      </c>
      <c r="C31" s="38" t="s">
        <v>42</v>
      </c>
      <c r="D31" s="38" t="s">
        <v>54</v>
      </c>
      <c r="E31" s="38" t="s">
        <v>33</v>
      </c>
      <c r="F31" s="257" t="s">
        <v>55</v>
      </c>
      <c r="G31" s="257"/>
    </row>
    <row r="32" spans="1:20" x14ac:dyDescent="0.3">
      <c r="A32" s="139"/>
      <c r="B32" s="49"/>
      <c r="C32" s="49"/>
      <c r="D32" s="49"/>
      <c r="E32" s="49"/>
      <c r="F32" s="49"/>
      <c r="G32" s="138"/>
    </row>
    <row r="33" spans="1:7" x14ac:dyDescent="0.3">
      <c r="A33" s="139"/>
      <c r="B33" s="49"/>
      <c r="C33" s="49"/>
      <c r="D33" s="49"/>
      <c r="E33" s="49"/>
      <c r="F33" s="49"/>
      <c r="G33" s="138"/>
    </row>
    <row r="34" spans="1:7" ht="23.4" x14ac:dyDescent="0.45">
      <c r="A34" s="147" t="s">
        <v>409</v>
      </c>
      <c r="B34" s="49"/>
      <c r="C34" s="49"/>
      <c r="D34" s="49"/>
      <c r="E34" s="49"/>
      <c r="F34" s="49"/>
      <c r="G34" s="138"/>
    </row>
    <row r="35" spans="1:7" ht="16.2" x14ac:dyDescent="0.3">
      <c r="A35" s="51" t="s">
        <v>56</v>
      </c>
      <c r="B35" s="51" t="s">
        <v>57</v>
      </c>
      <c r="C35" s="39" t="s">
        <v>58</v>
      </c>
      <c r="D35" s="49"/>
      <c r="E35" s="49"/>
      <c r="F35" s="49"/>
      <c r="G35" s="138"/>
    </row>
    <row r="36" spans="1:7" ht="28.8" x14ac:dyDescent="0.3">
      <c r="A36" s="246">
        <v>1</v>
      </c>
      <c r="B36" s="247" t="s">
        <v>59</v>
      </c>
      <c r="C36" s="247" t="s">
        <v>60</v>
      </c>
      <c r="D36" s="49"/>
      <c r="E36" s="49"/>
      <c r="F36" s="49"/>
      <c r="G36" s="138"/>
    </row>
    <row r="37" spans="1:7" ht="72" x14ac:dyDescent="0.3">
      <c r="A37" s="246">
        <v>2</v>
      </c>
      <c r="B37" s="247" t="s">
        <v>61</v>
      </c>
      <c r="C37" s="247" t="s">
        <v>62</v>
      </c>
      <c r="D37" s="49"/>
      <c r="E37" s="49"/>
      <c r="F37" s="49"/>
      <c r="G37" s="138"/>
    </row>
    <row r="38" spans="1:7" ht="43.2" x14ac:dyDescent="0.3">
      <c r="A38" s="246">
        <v>3</v>
      </c>
      <c r="B38" s="247" t="s">
        <v>63</v>
      </c>
      <c r="C38" s="247" t="s">
        <v>64</v>
      </c>
      <c r="D38" s="49"/>
      <c r="E38" s="49"/>
      <c r="F38" s="49"/>
      <c r="G38" s="138"/>
    </row>
    <row r="39" spans="1:7" ht="57.6" x14ac:dyDescent="0.3">
      <c r="A39" s="246">
        <v>4</v>
      </c>
      <c r="B39" s="247" t="s">
        <v>65</v>
      </c>
      <c r="C39" s="247" t="s">
        <v>66</v>
      </c>
      <c r="D39" s="49"/>
      <c r="E39" s="49"/>
      <c r="F39" s="49"/>
      <c r="G39" s="138"/>
    </row>
    <row r="40" spans="1:7" ht="43.2" x14ac:dyDescent="0.3">
      <c r="A40" s="246">
        <v>5</v>
      </c>
      <c r="B40" s="247" t="s">
        <v>67</v>
      </c>
      <c r="C40" s="247" t="s">
        <v>68</v>
      </c>
      <c r="D40" s="49"/>
      <c r="E40" s="49"/>
      <c r="F40" s="49"/>
      <c r="G40" s="138"/>
    </row>
    <row r="41" spans="1:7" ht="216" x14ac:dyDescent="0.3">
      <c r="A41" s="246">
        <v>6</v>
      </c>
      <c r="B41" s="247" t="s">
        <v>69</v>
      </c>
      <c r="C41" s="248" t="s">
        <v>70</v>
      </c>
      <c r="D41" s="49"/>
      <c r="E41" s="49"/>
      <c r="F41" s="49"/>
      <c r="G41" s="138"/>
    </row>
    <row r="42" spans="1:7" ht="201.6" x14ac:dyDescent="0.3">
      <c r="A42" s="246">
        <v>7</v>
      </c>
      <c r="B42" s="247" t="s">
        <v>71</v>
      </c>
      <c r="C42" s="248" t="s">
        <v>72</v>
      </c>
      <c r="D42" s="49"/>
      <c r="E42" s="49"/>
      <c r="F42" s="49"/>
      <c r="G42" s="138"/>
    </row>
    <row r="43" spans="1:7" ht="72" x14ac:dyDescent="0.3">
      <c r="A43" s="246">
        <v>8</v>
      </c>
      <c r="B43" s="247" t="s">
        <v>73</v>
      </c>
      <c r="C43" s="247" t="s">
        <v>74</v>
      </c>
      <c r="D43" s="49"/>
      <c r="E43" s="49"/>
      <c r="F43" s="49"/>
      <c r="G43" s="138"/>
    </row>
    <row r="44" spans="1:7" ht="28.8" x14ac:dyDescent="0.3">
      <c r="A44" s="246">
        <v>9</v>
      </c>
      <c r="B44" s="247" t="s">
        <v>75</v>
      </c>
      <c r="C44" s="247" t="s">
        <v>76</v>
      </c>
      <c r="D44" s="49"/>
      <c r="E44" s="49"/>
      <c r="F44" s="49"/>
      <c r="G44" s="138"/>
    </row>
    <row r="45" spans="1:7" ht="57.6" x14ac:dyDescent="0.3">
      <c r="A45" s="246">
        <v>10</v>
      </c>
      <c r="B45" s="247" t="s">
        <v>77</v>
      </c>
      <c r="C45" s="247" t="s">
        <v>78</v>
      </c>
      <c r="D45" s="49"/>
      <c r="E45" s="49"/>
      <c r="F45" s="49"/>
      <c r="G45" s="138"/>
    </row>
    <row r="46" spans="1:7" ht="187.2" x14ac:dyDescent="0.3">
      <c r="A46" s="246" t="s">
        <v>79</v>
      </c>
      <c r="B46" s="247" t="s">
        <v>80</v>
      </c>
      <c r="C46" s="247" t="s">
        <v>81</v>
      </c>
      <c r="D46" s="49"/>
      <c r="E46" s="49"/>
      <c r="F46" s="49"/>
      <c r="G46" s="138"/>
    </row>
    <row r="47" spans="1:7" ht="216" x14ac:dyDescent="0.3">
      <c r="A47" s="246" t="s">
        <v>82</v>
      </c>
      <c r="B47" s="247" t="s">
        <v>83</v>
      </c>
      <c r="C47" s="247" t="s">
        <v>84</v>
      </c>
      <c r="D47" s="49"/>
      <c r="E47" s="49"/>
      <c r="F47" s="49"/>
      <c r="G47" s="138"/>
    </row>
    <row r="48" spans="1:7" ht="273.60000000000002" x14ac:dyDescent="0.3">
      <c r="A48" s="246" t="s">
        <v>85</v>
      </c>
      <c r="B48" s="247" t="s">
        <v>86</v>
      </c>
      <c r="C48" s="247" t="s">
        <v>87</v>
      </c>
      <c r="D48" s="49"/>
      <c r="E48" s="49"/>
      <c r="F48" s="49"/>
      <c r="G48" s="138"/>
    </row>
    <row r="49" spans="1:7" ht="331.2" x14ac:dyDescent="0.3">
      <c r="A49" s="246" t="s">
        <v>88</v>
      </c>
      <c r="B49" s="247" t="s">
        <v>89</v>
      </c>
      <c r="C49" s="247" t="s">
        <v>90</v>
      </c>
      <c r="D49" s="49"/>
      <c r="E49" s="49"/>
      <c r="F49" s="49"/>
      <c r="G49" s="138"/>
    </row>
    <row r="50" spans="1:7" ht="360" x14ac:dyDescent="0.3">
      <c r="A50" s="246" t="s">
        <v>91</v>
      </c>
      <c r="B50" s="247" t="s">
        <v>92</v>
      </c>
      <c r="C50" s="248" t="s">
        <v>93</v>
      </c>
      <c r="D50" s="49"/>
      <c r="E50" s="49"/>
      <c r="F50" s="49"/>
      <c r="G50" s="138"/>
    </row>
    <row r="51" spans="1:7" ht="144" x14ac:dyDescent="0.3">
      <c r="A51" s="246" t="s">
        <v>94</v>
      </c>
      <c r="B51" s="247" t="s">
        <v>95</v>
      </c>
      <c r="C51" s="247" t="s">
        <v>96</v>
      </c>
      <c r="D51" s="49"/>
      <c r="E51" s="49"/>
      <c r="F51" s="49"/>
      <c r="G51" s="138"/>
    </row>
    <row r="52" spans="1:7" ht="316.8" x14ac:dyDescent="0.3">
      <c r="A52" s="246" t="s">
        <v>97</v>
      </c>
      <c r="B52" s="247" t="s">
        <v>98</v>
      </c>
      <c r="C52" s="248" t="s">
        <v>99</v>
      </c>
      <c r="D52" s="49"/>
      <c r="E52" s="49"/>
      <c r="F52" s="49"/>
      <c r="G52" s="138"/>
    </row>
    <row r="53" spans="1:7" ht="403.2" x14ac:dyDescent="0.3">
      <c r="A53" s="246">
        <v>12</v>
      </c>
      <c r="B53" s="247" t="s">
        <v>100</v>
      </c>
      <c r="C53" s="247" t="s">
        <v>101</v>
      </c>
      <c r="D53" s="49"/>
      <c r="E53" s="49"/>
      <c r="F53" s="49"/>
      <c r="G53" s="138"/>
    </row>
    <row r="54" spans="1:7" ht="100.8" x14ac:dyDescent="0.3">
      <c r="A54" s="246">
        <v>13</v>
      </c>
      <c r="B54" s="247" t="s">
        <v>102</v>
      </c>
      <c r="C54" s="247" t="s">
        <v>103</v>
      </c>
      <c r="D54" s="49"/>
      <c r="E54" s="49"/>
      <c r="F54" s="49"/>
      <c r="G54" s="138"/>
    </row>
    <row r="55" spans="1:7" ht="43.2" x14ac:dyDescent="0.3">
      <c r="A55" s="249">
        <v>14</v>
      </c>
      <c r="B55" s="248" t="s">
        <v>104</v>
      </c>
      <c r="C55" s="247" t="s">
        <v>105</v>
      </c>
      <c r="D55" s="49"/>
      <c r="E55" s="49"/>
      <c r="F55" s="49"/>
      <c r="G55" s="138"/>
    </row>
    <row r="56" spans="1:7" x14ac:dyDescent="0.3">
      <c r="A56" s="250" t="s">
        <v>106</v>
      </c>
      <c r="B56" s="49"/>
      <c r="C56" s="50"/>
      <c r="D56" s="49"/>
      <c r="E56" s="49"/>
      <c r="F56" s="49"/>
      <c r="G56" s="138"/>
    </row>
    <row r="57" spans="1:7" x14ac:dyDescent="0.3">
      <c r="A57" s="250" t="s">
        <v>410</v>
      </c>
      <c r="B57" s="49"/>
      <c r="C57" s="50"/>
      <c r="D57" s="49"/>
      <c r="E57" s="49"/>
      <c r="F57" s="49"/>
      <c r="G57" s="138"/>
    </row>
    <row r="58" spans="1:7" x14ac:dyDescent="0.3">
      <c r="A58" s="139"/>
      <c r="B58" s="49"/>
      <c r="C58" s="49"/>
      <c r="D58" s="49"/>
      <c r="E58" s="49"/>
      <c r="F58" s="49"/>
      <c r="G58" s="138"/>
    </row>
    <row r="59" spans="1:7" ht="28.5" customHeight="1" x14ac:dyDescent="0.45">
      <c r="A59" s="148" t="s">
        <v>107</v>
      </c>
      <c r="C59" s="49"/>
      <c r="D59" s="49"/>
      <c r="E59" s="49"/>
      <c r="F59" s="49"/>
      <c r="G59" s="138"/>
    </row>
    <row r="60" spans="1:7" x14ac:dyDescent="0.3">
      <c r="A60" s="51" t="s">
        <v>108</v>
      </c>
      <c r="B60" s="51" t="s">
        <v>109</v>
      </c>
      <c r="C60" s="49"/>
      <c r="D60" s="49"/>
      <c r="E60" s="49"/>
      <c r="F60" s="49"/>
      <c r="G60" s="138"/>
    </row>
    <row r="61" spans="1:7" ht="57.6" x14ac:dyDescent="0.3">
      <c r="A61" s="38" t="s">
        <v>110</v>
      </c>
      <c r="B61" s="35" t="s">
        <v>111</v>
      </c>
      <c r="C61" s="49"/>
      <c r="D61" s="49"/>
      <c r="E61" s="49"/>
      <c r="F61" s="49"/>
      <c r="G61" s="138"/>
    </row>
    <row r="62" spans="1:7" ht="86.4" x14ac:dyDescent="0.3">
      <c r="A62" s="38" t="s">
        <v>112</v>
      </c>
      <c r="B62" s="35" t="s">
        <v>113</v>
      </c>
      <c r="C62" s="49"/>
      <c r="D62" s="49"/>
      <c r="E62" s="49"/>
      <c r="F62" s="49"/>
      <c r="G62" s="138"/>
    </row>
    <row r="63" spans="1:7" ht="86.4" x14ac:dyDescent="0.3">
      <c r="A63" s="38" t="s">
        <v>114</v>
      </c>
      <c r="B63" s="142" t="s">
        <v>115</v>
      </c>
      <c r="C63" s="49"/>
      <c r="D63" s="49"/>
      <c r="E63" s="49"/>
      <c r="F63" s="49"/>
      <c r="G63" s="138"/>
    </row>
    <row r="64" spans="1:7" ht="57.6" x14ac:dyDescent="0.3">
      <c r="A64" s="38" t="s">
        <v>116</v>
      </c>
      <c r="B64" s="142" t="s">
        <v>117</v>
      </c>
      <c r="C64" s="49"/>
      <c r="D64" s="49"/>
      <c r="E64" s="49"/>
      <c r="F64" s="49"/>
      <c r="G64" s="138"/>
    </row>
    <row r="65" spans="1:7" ht="43.2" x14ac:dyDescent="0.3">
      <c r="A65" s="38" t="s">
        <v>118</v>
      </c>
      <c r="B65" s="142" t="s">
        <v>119</v>
      </c>
      <c r="C65" s="49"/>
      <c r="D65" s="49"/>
      <c r="E65" s="49"/>
      <c r="F65" s="49"/>
      <c r="G65" s="138"/>
    </row>
    <row r="66" spans="1:7" ht="72" x14ac:dyDescent="0.3">
      <c r="A66" s="38" t="s">
        <v>120</v>
      </c>
      <c r="B66" s="142" t="s">
        <v>121</v>
      </c>
      <c r="C66" s="49"/>
      <c r="D66" s="49"/>
      <c r="E66" s="49"/>
      <c r="F66" s="49"/>
      <c r="G66" s="138"/>
    </row>
    <row r="67" spans="1:7" ht="15.6" x14ac:dyDescent="0.3">
      <c r="A67" s="149"/>
      <c r="B67" s="49"/>
      <c r="C67" s="49"/>
      <c r="D67" s="49"/>
      <c r="E67" s="49"/>
      <c r="F67" s="49"/>
      <c r="G67" s="138"/>
    </row>
    <row r="68" spans="1:7" x14ac:dyDescent="0.3">
      <c r="A68" s="150"/>
      <c r="B68" s="49"/>
      <c r="C68" s="49"/>
      <c r="D68" s="49"/>
      <c r="E68" s="49"/>
      <c r="F68" s="49"/>
      <c r="G68" s="138"/>
    </row>
    <row r="69" spans="1:7" x14ac:dyDescent="0.3">
      <c r="A69" s="140"/>
      <c r="B69" s="69"/>
      <c r="C69" s="69"/>
      <c r="D69" s="69"/>
      <c r="E69" s="69"/>
      <c r="F69" s="69"/>
      <c r="G69" s="141"/>
    </row>
  </sheetData>
  <sortState ref="A60:B65">
    <sortCondition ref="A60:A65"/>
  </sortState>
  <mergeCells count="18">
    <mergeCell ref="B15:G15"/>
    <mergeCell ref="A5:G5"/>
    <mergeCell ref="A6:G6"/>
    <mergeCell ref="A8:G8"/>
    <mergeCell ref="A7:G7"/>
    <mergeCell ref="A9:G9"/>
    <mergeCell ref="F20:G20"/>
    <mergeCell ref="F21:G21"/>
    <mergeCell ref="F22:G22"/>
    <mergeCell ref="F23:G23"/>
    <mergeCell ref="F24:G24"/>
    <mergeCell ref="F30:G30"/>
    <mergeCell ref="F31:G31"/>
    <mergeCell ref="F25:G25"/>
    <mergeCell ref="F26:G26"/>
    <mergeCell ref="F27:G27"/>
    <mergeCell ref="F28:G28"/>
    <mergeCell ref="F29:G29"/>
  </mergeCells>
  <hyperlinks>
    <hyperlink ref="B66" r:id="rId1" display="https://www.energy.gov/sites/default/files/2022-06/USEER 2022 National Report_1.pdf"/>
    <hyperlink ref="B63" r:id="rId2" display="https://www.eia.gov/electricity/data/eia860/"/>
    <hyperlink ref="B64" r:id="rId3" display="https://www.eia.gov/electricity/data/eia861/"/>
    <hyperlink ref="B65"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F39"/>
  <sheetViews>
    <sheetView topLeftCell="A16" zoomScale="90" zoomScaleNormal="90" workbookViewId="0">
      <selection activeCell="C39" sqref="C39"/>
    </sheetView>
  </sheetViews>
  <sheetFormatPr defaultRowHeight="14.4" x14ac:dyDescent="0.3"/>
  <cols>
    <col min="1" max="1" width="26.109375" customWidth="1"/>
    <col min="2" max="2" width="52" bestFit="1" customWidth="1"/>
    <col min="3" max="3" width="29.44140625" customWidth="1"/>
    <col min="4" max="4" width="9.44140625" customWidth="1"/>
    <col min="11" max="11" width="8.33203125" customWidth="1"/>
    <col min="23" max="23" width="30.88671875" customWidth="1"/>
  </cols>
  <sheetData>
    <row r="1" spans="1:3" x14ac:dyDescent="0.3">
      <c r="A1" s="28" t="s">
        <v>259</v>
      </c>
      <c r="B1" s="14" t="s">
        <v>260</v>
      </c>
      <c r="C1" s="16" t="s">
        <v>273</v>
      </c>
    </row>
    <row r="2" spans="1:3" x14ac:dyDescent="0.3">
      <c r="A2" s="182">
        <f t="array" ref="A2:B31">Aurora_Output!AM3:AN32</f>
        <v>1</v>
      </c>
      <c r="B2" s="145" t="str">
        <v>Reference</v>
      </c>
      <c r="C2" s="187">
        <f t="array" ref="C2:C31">TRANSPOSE(B39:AF39)</f>
        <v>290.73254120678473</v>
      </c>
    </row>
    <row r="3" spans="1:3" x14ac:dyDescent="0.3">
      <c r="A3" s="182">
        <v>2</v>
      </c>
      <c r="B3" s="145" t="str">
        <v>DSM Bundle 10</v>
      </c>
      <c r="C3" s="187">
        <v>258.51667795075838</v>
      </c>
    </row>
    <row r="4" spans="1:3" x14ac:dyDescent="0.3">
      <c r="A4" s="182">
        <v>3</v>
      </c>
      <c r="B4" s="145" t="str">
        <v>DSM Bundle 7</v>
      </c>
      <c r="C4" s="187">
        <v>285.43383266697879</v>
      </c>
    </row>
    <row r="5" spans="1:3" x14ac:dyDescent="0.3">
      <c r="A5" s="182">
        <v>4</v>
      </c>
      <c r="B5" s="145" t="str">
        <v>DER Solar</v>
      </c>
      <c r="C5" s="187">
        <v>260.99371665166109</v>
      </c>
    </row>
    <row r="6" spans="1:3" x14ac:dyDescent="0.3">
      <c r="A6" s="182">
        <v>5</v>
      </c>
      <c r="B6" s="145" t="str">
        <v>DER Batteries</v>
      </c>
      <c r="C6" s="187">
        <v>258.51667795075838</v>
      </c>
    </row>
    <row r="7" spans="1:3" x14ac:dyDescent="0.3">
      <c r="A7" s="182">
        <v>6</v>
      </c>
      <c r="B7" s="145" t="str">
        <v>MT Overbuild, PHES + All East Wind</v>
      </c>
      <c r="C7" s="187">
        <v>258.51667795075838</v>
      </c>
    </row>
    <row r="8" spans="1:3" x14ac:dyDescent="0.3">
      <c r="A8" s="182">
        <v>7</v>
      </c>
      <c r="B8" s="145" t="str">
        <v>MT Overbuild, PHES + East, Central Wind</v>
      </c>
      <c r="C8" s="187">
        <v>258.51667795075838</v>
      </c>
    </row>
    <row r="9" spans="1:3" x14ac:dyDescent="0.3">
      <c r="A9" s="182">
        <v>8</v>
      </c>
      <c r="B9" s="145" t="str">
        <v>PNW PHES</v>
      </c>
      <c r="C9" s="187">
        <v>260.95781757478602</v>
      </c>
    </row>
    <row r="10" spans="1:3" x14ac:dyDescent="0.3">
      <c r="A10" s="17">
        <v>9</v>
      </c>
      <c r="B10" s="11" t="str">
        <v>Nuclear</v>
      </c>
      <c r="C10" s="185">
        <v>258.51667795075838</v>
      </c>
    </row>
    <row r="11" spans="1:3" x14ac:dyDescent="0.3">
      <c r="A11" s="17">
        <v>10</v>
      </c>
      <c r="B11" s="11" t="str">
        <v>Restricted Thermal</v>
      </c>
      <c r="C11" s="185">
        <v>258.51667795075838</v>
      </c>
    </row>
    <row r="12" spans="1:3" x14ac:dyDescent="0.3">
      <c r="A12" s="17" t="str">
        <v>11 A1</v>
      </c>
      <c r="B12" s="11" t="str">
        <v>Least Diversified w/ Nuclear</v>
      </c>
      <c r="C12" s="185">
        <v>285.43383266697879</v>
      </c>
    </row>
    <row r="13" spans="1:3" x14ac:dyDescent="0.3">
      <c r="A13" s="17" t="str">
        <v>11 A2</v>
      </c>
      <c r="B13" s="11" t="str">
        <v>Diversified + PNW PHES</v>
      </c>
      <c r="C13" s="185">
        <v>260.95781757478602</v>
      </c>
    </row>
    <row r="14" spans="1:3" x14ac:dyDescent="0.3">
      <c r="A14" s="17" t="str">
        <v>11 A3</v>
      </c>
      <c r="B14" s="11" t="str">
        <v>Diversified + DER Solar</v>
      </c>
      <c r="C14" s="185">
        <v>286.61132290202136</v>
      </c>
    </row>
    <row r="15" spans="1:3" x14ac:dyDescent="0.3">
      <c r="A15" s="17" t="str">
        <v>11 A4</v>
      </c>
      <c r="B15" s="11" t="str">
        <v>Diversified + DER Batteries</v>
      </c>
      <c r="C15" s="185">
        <v>258.51667795075838</v>
      </c>
    </row>
    <row r="16" spans="1:3" x14ac:dyDescent="0.3">
      <c r="A16" s="17" t="str">
        <v>11 A5</v>
      </c>
      <c r="B16" s="11" t="str">
        <v>Diversified + All DR Programs</v>
      </c>
      <c r="C16" s="185">
        <v>320.39238590979994</v>
      </c>
    </row>
    <row r="17" spans="1:24" x14ac:dyDescent="0.3">
      <c r="A17" s="17" t="str">
        <v>11 B1</v>
      </c>
      <c r="B17" s="11" t="str">
        <v>Least Diversified w/o Nuclear</v>
      </c>
      <c r="C17" s="185">
        <v>258.51667795075838</v>
      </c>
    </row>
    <row r="18" spans="1:24" x14ac:dyDescent="0.3">
      <c r="A18" s="17" t="str">
        <v>11 B2</v>
      </c>
      <c r="B18" s="11" t="str">
        <v>Most Diversified w/o Nuclear</v>
      </c>
      <c r="C18" s="185">
        <v>320.39238590979994</v>
      </c>
    </row>
    <row r="19" spans="1:24" x14ac:dyDescent="0.3">
      <c r="A19" s="17">
        <v>12</v>
      </c>
      <c r="B19" s="11" t="str">
        <v>100% Renewable/Non-Emitting by 2030</v>
      </c>
      <c r="C19" s="185">
        <v>0</v>
      </c>
    </row>
    <row r="20" spans="1:24" x14ac:dyDescent="0.3">
      <c r="A20" s="17">
        <v>13</v>
      </c>
      <c r="B20" s="11" t="str">
        <v>High Carbon Price</v>
      </c>
      <c r="C20" s="185">
        <v>260.97935702091104</v>
      </c>
    </row>
    <row r="21" spans="1:24" x14ac:dyDescent="0.3">
      <c r="A21" s="17">
        <v>14</v>
      </c>
      <c r="B21" s="11" t="str">
        <v>No H2 Fuel</v>
      </c>
      <c r="C21" s="185">
        <v>258.51667795075838</v>
      </c>
    </row>
    <row r="22" spans="1:24" x14ac:dyDescent="0.3">
      <c r="A22" s="17">
        <v>0</v>
      </c>
      <c r="B22" s="11">
        <v>0</v>
      </c>
      <c r="C22" s="185">
        <v>0</v>
      </c>
    </row>
    <row r="23" spans="1:24" x14ac:dyDescent="0.3">
      <c r="A23" s="17">
        <v>0</v>
      </c>
      <c r="B23" s="11">
        <v>0</v>
      </c>
      <c r="C23" s="185">
        <v>0</v>
      </c>
    </row>
    <row r="24" spans="1:24" x14ac:dyDescent="0.3">
      <c r="A24" s="17">
        <v>0</v>
      </c>
      <c r="B24" s="11">
        <v>0</v>
      </c>
      <c r="C24" s="185">
        <v>0</v>
      </c>
    </row>
    <row r="25" spans="1:24" x14ac:dyDescent="0.3">
      <c r="A25" s="17">
        <v>0</v>
      </c>
      <c r="B25" s="11">
        <v>0</v>
      </c>
      <c r="C25" s="185">
        <v>0</v>
      </c>
      <c r="T25" s="4"/>
      <c r="V25" s="8"/>
      <c r="W25" s="8"/>
    </row>
    <row r="26" spans="1:24" x14ac:dyDescent="0.3">
      <c r="A26" s="17">
        <v>0</v>
      </c>
      <c r="B26" s="11">
        <v>0</v>
      </c>
      <c r="C26" s="185">
        <v>0</v>
      </c>
      <c r="T26" s="4"/>
      <c r="V26" s="8"/>
      <c r="W26" s="8"/>
      <c r="X26" s="8" t="e">
        <f>IF(Aurora_Output!D48&gt;300, (100*#REF!) + (200*#REF!), IF(Aurora_Output!D48&gt;=100, (100*#REF!) + ((Aurora_Output!D48-100)*#REF!), (Aurora_Output!D48*#REF!)))</f>
        <v>#REF!</v>
      </c>
    </row>
    <row r="27" spans="1:24" x14ac:dyDescent="0.3">
      <c r="A27" s="17">
        <v>0</v>
      </c>
      <c r="B27" s="11">
        <v>0</v>
      </c>
      <c r="C27" s="185">
        <v>0</v>
      </c>
      <c r="W27" s="8"/>
      <c r="X27" s="8" t="e">
        <f>IF(Aurora_Output!D48&gt;=100, (100*#REF!) + ((Aurora_Output!D48-100)*#REF!), (Aurora_Output!D48*#REF!))</f>
        <v>#REF!</v>
      </c>
    </row>
    <row r="28" spans="1:24" x14ac:dyDescent="0.3">
      <c r="A28" s="17">
        <v>0</v>
      </c>
      <c r="B28" s="11">
        <v>0</v>
      </c>
      <c r="C28" s="185">
        <v>0</v>
      </c>
    </row>
    <row r="29" spans="1:24" x14ac:dyDescent="0.3">
      <c r="A29" s="17">
        <v>0</v>
      </c>
      <c r="B29" s="11">
        <v>0</v>
      </c>
      <c r="C29" s="185">
        <v>0</v>
      </c>
    </row>
    <row r="30" spans="1:24" x14ac:dyDescent="0.3">
      <c r="A30" s="17">
        <v>0</v>
      </c>
      <c r="B30" s="11">
        <v>0</v>
      </c>
      <c r="C30" s="185">
        <v>0</v>
      </c>
    </row>
    <row r="31" spans="1:24" x14ac:dyDescent="0.3">
      <c r="A31" s="181">
        <v>0</v>
      </c>
      <c r="B31" s="183">
        <v>0</v>
      </c>
      <c r="C31" s="186">
        <v>0</v>
      </c>
    </row>
    <row r="32" spans="1:24" x14ac:dyDescent="0.3">
      <c r="B32" s="2"/>
    </row>
    <row r="33" spans="1:32" x14ac:dyDescent="0.3">
      <c r="A33" s="4" t="s">
        <v>274</v>
      </c>
      <c r="K33" s="153"/>
    </row>
    <row r="34" spans="1:32" x14ac:dyDescent="0.3">
      <c r="A34" s="251">
        <v>0.71798222222222208</v>
      </c>
      <c r="K34" s="153"/>
    </row>
    <row r="35" spans="1:32" x14ac:dyDescent="0.3">
      <c r="A35" s="252" t="s">
        <v>275</v>
      </c>
      <c r="K35" s="153"/>
    </row>
    <row r="37" spans="1:32" x14ac:dyDescent="0.3">
      <c r="A37" s="32" t="s">
        <v>158</v>
      </c>
      <c r="B37" s="79">
        <f t="array" ref="B37:AF37">Aurora_Output!D3:AK3</f>
        <v>1</v>
      </c>
      <c r="C37" s="79">
        <v>2</v>
      </c>
      <c r="D37" s="79">
        <v>3</v>
      </c>
      <c r="E37" s="79">
        <v>4</v>
      </c>
      <c r="F37" s="79">
        <v>5</v>
      </c>
      <c r="G37" s="79">
        <v>6</v>
      </c>
      <c r="H37" s="79">
        <v>7</v>
      </c>
      <c r="I37" s="79">
        <v>8</v>
      </c>
      <c r="J37" s="79">
        <v>9</v>
      </c>
      <c r="K37" s="79">
        <v>10</v>
      </c>
      <c r="L37" s="79" t="str">
        <v>11 A1</v>
      </c>
      <c r="M37" s="79" t="str">
        <v>11 A2</v>
      </c>
      <c r="N37" s="79" t="str">
        <v>11 A3</v>
      </c>
      <c r="O37" s="79" t="str">
        <v>11 A4</v>
      </c>
      <c r="P37" s="79" t="str">
        <v>11 A5</v>
      </c>
      <c r="Q37" s="79" t="str">
        <v>11 B1</v>
      </c>
      <c r="R37" s="79" t="str">
        <v>11 B2</v>
      </c>
      <c r="S37" s="79">
        <v>12</v>
      </c>
      <c r="T37" s="79">
        <v>13</v>
      </c>
      <c r="U37" s="31">
        <v>14</v>
      </c>
      <c r="V37" s="31">
        <v>0</v>
      </c>
      <c r="W37" s="31">
        <v>0</v>
      </c>
      <c r="X37" s="23">
        <v>0</v>
      </c>
      <c r="Y37" s="23">
        <v>0</v>
      </c>
      <c r="Z37" s="23">
        <v>0</v>
      </c>
      <c r="AA37" s="23">
        <v>0</v>
      </c>
      <c r="AB37" s="23">
        <v>0</v>
      </c>
      <c r="AC37" s="23">
        <v>0</v>
      </c>
      <c r="AD37" s="23">
        <v>0</v>
      </c>
      <c r="AE37" s="23">
        <v>0</v>
      </c>
      <c r="AF37" s="23">
        <v>0</v>
      </c>
    </row>
    <row r="38" spans="1:32" x14ac:dyDescent="0.3">
      <c r="A38" t="s">
        <v>219</v>
      </c>
      <c r="B38" s="166">
        <f>Aurora_Output!D48*$A$34</f>
        <v>290.73254120678473</v>
      </c>
      <c r="C38" s="166">
        <f>Aurora_Output!E48*$A$34</f>
        <v>258.51667795075838</v>
      </c>
      <c r="D38" s="166">
        <f>Aurora_Output!F48*$A$34</f>
        <v>285.43383266697879</v>
      </c>
      <c r="E38" s="166">
        <f>Aurora_Output!G48*$A$34</f>
        <v>260.99371665166109</v>
      </c>
      <c r="F38" s="166">
        <f>Aurora_Output!H48*$A$34</f>
        <v>258.51667795075838</v>
      </c>
      <c r="G38" s="166">
        <f>Aurora_Output!I48*$A$34</f>
        <v>258.51667795075838</v>
      </c>
      <c r="H38" s="166">
        <f>Aurora_Output!J48*$A$34</f>
        <v>258.51667795075838</v>
      </c>
      <c r="I38" s="166">
        <f>Aurora_Output!K48*$A$34</f>
        <v>260.95781757478602</v>
      </c>
      <c r="J38" s="166">
        <f>Aurora_Output!L48*$A$34</f>
        <v>258.51667795075838</v>
      </c>
      <c r="K38" s="166">
        <f>Aurora_Output!M48*$A$34</f>
        <v>258.51667795075838</v>
      </c>
      <c r="L38" s="166">
        <f>Aurora_Output!N48*$A$34</f>
        <v>285.43383266697879</v>
      </c>
      <c r="M38" s="166">
        <f>Aurora_Output!O48*$A$34</f>
        <v>260.95781757478602</v>
      </c>
      <c r="N38" s="166">
        <f>Aurora_Output!P48*$A$34</f>
        <v>286.61132290202136</v>
      </c>
      <c r="O38" s="166">
        <f>Aurora_Output!Q48*$A$34</f>
        <v>258.51667795075838</v>
      </c>
      <c r="P38" s="166">
        <f>Aurora_Output!R48*$A$34</f>
        <v>320.39238590979994</v>
      </c>
      <c r="Q38" s="166">
        <f>Aurora_Output!S48*$A$34</f>
        <v>258.51667795075838</v>
      </c>
      <c r="R38" s="166">
        <f>Aurora_Output!T48*$A$34</f>
        <v>320.39238590979994</v>
      </c>
      <c r="S38" s="166">
        <f>Aurora_Output!U48*$A$34</f>
        <v>0</v>
      </c>
      <c r="T38" s="166">
        <f>Aurora_Output!V48*$A$34</f>
        <v>260.97935702091104</v>
      </c>
      <c r="U38" s="166">
        <f>Aurora_Output!W48*$A$34</f>
        <v>258.51667795075838</v>
      </c>
      <c r="V38" s="184"/>
      <c r="W38" s="184"/>
    </row>
    <row r="39" spans="1:32" s="153" customFormat="1" x14ac:dyDescent="0.3">
      <c r="A39" s="211" t="s">
        <v>276</v>
      </c>
      <c r="B39" s="210">
        <f t="shared" ref="B39:N39" si="0">SUM(B38:B38)</f>
        <v>290.73254120678473</v>
      </c>
      <c r="C39" s="210">
        <f t="shared" si="0"/>
        <v>258.51667795075838</v>
      </c>
      <c r="D39" s="210">
        <f t="shared" si="0"/>
        <v>285.43383266697879</v>
      </c>
      <c r="E39" s="210">
        <f t="shared" si="0"/>
        <v>260.99371665166109</v>
      </c>
      <c r="F39" s="210">
        <f t="shared" si="0"/>
        <v>258.51667795075838</v>
      </c>
      <c r="G39" s="210">
        <f t="shared" si="0"/>
        <v>258.51667795075838</v>
      </c>
      <c r="H39" s="210">
        <f t="shared" si="0"/>
        <v>258.51667795075838</v>
      </c>
      <c r="I39" s="210">
        <f t="shared" si="0"/>
        <v>260.95781757478602</v>
      </c>
      <c r="J39" s="210">
        <f t="shared" si="0"/>
        <v>258.51667795075838</v>
      </c>
      <c r="K39" s="210">
        <f t="shared" si="0"/>
        <v>258.51667795075838</v>
      </c>
      <c r="L39" s="210">
        <f t="shared" si="0"/>
        <v>285.43383266697879</v>
      </c>
      <c r="M39" s="210">
        <f t="shared" si="0"/>
        <v>260.95781757478602</v>
      </c>
      <c r="N39" s="210">
        <f t="shared" si="0"/>
        <v>286.61132290202136</v>
      </c>
      <c r="O39" s="210">
        <f t="shared" ref="O39:U39" si="1">SUM(O38:O38)</f>
        <v>258.51667795075838</v>
      </c>
      <c r="P39" s="210">
        <f t="shared" si="1"/>
        <v>320.39238590979994</v>
      </c>
      <c r="Q39" s="210">
        <f t="shared" si="1"/>
        <v>258.51667795075838</v>
      </c>
      <c r="R39" s="210">
        <f t="shared" si="1"/>
        <v>320.39238590979994</v>
      </c>
      <c r="S39" s="210">
        <f t="shared" si="1"/>
        <v>0</v>
      </c>
      <c r="T39" s="210">
        <f t="shared" si="1"/>
        <v>260.97935702091104</v>
      </c>
      <c r="U39" s="210">
        <f t="shared" si="1"/>
        <v>258.51667795075838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topLeftCell="A22" workbookViewId="0">
      <selection activeCell="B36" sqref="B36"/>
    </sheetView>
  </sheetViews>
  <sheetFormatPr defaultRowHeight="14.4" x14ac:dyDescent="0.3"/>
  <cols>
    <col min="1" max="1" width="22" customWidth="1"/>
    <col min="2" max="2" width="34.109375" style="11" customWidth="1"/>
    <col min="3" max="10" width="15.44140625" customWidth="1"/>
    <col min="11" max="11" width="16.88671875" customWidth="1"/>
    <col min="12" max="12" width="9.33203125" bestFit="1" customWidth="1"/>
    <col min="13" max="17" width="17.88671875" customWidth="1"/>
    <col min="18" max="22" width="14.88671875" customWidth="1"/>
    <col min="23" max="23" width="11" bestFit="1" customWidth="1"/>
    <col min="24" max="24" width="11.5546875" bestFit="1" customWidth="1"/>
    <col min="25" max="25" width="9.44140625" bestFit="1" customWidth="1"/>
    <col min="26" max="26" width="14.109375" bestFit="1" customWidth="1"/>
    <col min="27" max="27" width="5.44140625" bestFit="1" customWidth="1"/>
    <col min="28" max="28" width="11" bestFit="1" customWidth="1"/>
    <col min="29" max="29" width="11.5546875" bestFit="1" customWidth="1"/>
    <col min="30" max="30" width="9.44140625" bestFit="1" customWidth="1"/>
    <col min="31" max="31" width="14.109375" bestFit="1" customWidth="1"/>
    <col min="32" max="32" width="5.5546875" bestFit="1" customWidth="1"/>
    <col min="33" max="87" width="14.88671875" customWidth="1"/>
  </cols>
  <sheetData>
    <row r="1" spans="1:3" ht="57.6" x14ac:dyDescent="0.3">
      <c r="A1" s="14" t="s">
        <v>259</v>
      </c>
      <c r="B1" s="15" t="s">
        <v>265</v>
      </c>
      <c r="C1" s="16" t="s">
        <v>277</v>
      </c>
    </row>
    <row r="2" spans="1:3" x14ac:dyDescent="0.3">
      <c r="A2" s="200">
        <f t="array" ref="A2:B31">Aurora_Output!AM3:AN32</f>
        <v>1</v>
      </c>
      <c r="B2" s="201" t="str">
        <v>Reference</v>
      </c>
      <c r="C2" s="204">
        <f t="array" ref="C2:C31">TRANSPOSE(B38:AE38)</f>
        <v>12115.291757981862</v>
      </c>
    </row>
    <row r="3" spans="1:3" x14ac:dyDescent="0.3">
      <c r="A3" s="200">
        <v>2</v>
      </c>
      <c r="B3" s="201" t="str">
        <v>DSM Bundle 10</v>
      </c>
      <c r="C3" s="204">
        <v>12115.291757981862</v>
      </c>
    </row>
    <row r="4" spans="1:3" x14ac:dyDescent="0.3">
      <c r="A4" s="200">
        <v>3</v>
      </c>
      <c r="B4" s="201" t="str">
        <v>DSM Bundle 7</v>
      </c>
      <c r="C4" s="204">
        <v>12115.291757981862</v>
      </c>
    </row>
    <row r="5" spans="1:3" x14ac:dyDescent="0.3">
      <c r="A5" s="200">
        <v>4</v>
      </c>
      <c r="B5" s="201" t="str">
        <v>DER Solar</v>
      </c>
      <c r="C5" s="204">
        <v>83902.523027568313</v>
      </c>
    </row>
    <row r="6" spans="1:3" x14ac:dyDescent="0.3">
      <c r="A6" s="200">
        <v>5</v>
      </c>
      <c r="B6" s="201" t="str">
        <v>DER Batteries</v>
      </c>
      <c r="C6" s="204">
        <v>12115.291757981862</v>
      </c>
    </row>
    <row r="7" spans="1:3" x14ac:dyDescent="0.3">
      <c r="A7" s="200">
        <v>6</v>
      </c>
      <c r="B7" s="201" t="str">
        <v>MT Overbuild, PHES + All East Wind</v>
      </c>
      <c r="C7" s="204">
        <v>12115.291757981862</v>
      </c>
    </row>
    <row r="8" spans="1:3" x14ac:dyDescent="0.3">
      <c r="A8" s="200">
        <v>7</v>
      </c>
      <c r="B8" s="201" t="str">
        <v>MT Overbuild, PHES + East, Central Wind</v>
      </c>
      <c r="C8" s="204">
        <v>12115.291757981862</v>
      </c>
    </row>
    <row r="9" spans="1:3" x14ac:dyDescent="0.3">
      <c r="A9" s="200">
        <v>8</v>
      </c>
      <c r="B9" s="201" t="str">
        <v>PNW PHES</v>
      </c>
      <c r="C9" s="204">
        <v>12115.291757981862</v>
      </c>
    </row>
    <row r="10" spans="1:3" x14ac:dyDescent="0.3">
      <c r="A10" s="17">
        <v>9</v>
      </c>
      <c r="B10" s="11" t="str">
        <v>Nuclear</v>
      </c>
      <c r="C10" s="202">
        <v>12115.291757981862</v>
      </c>
    </row>
    <row r="11" spans="1:3" x14ac:dyDescent="0.3">
      <c r="A11" s="17">
        <v>10</v>
      </c>
      <c r="B11" s="11" t="str">
        <v>Restricted Thermal</v>
      </c>
      <c r="C11" s="202">
        <v>12115.291757981862</v>
      </c>
    </row>
    <row r="12" spans="1:3" x14ac:dyDescent="0.3">
      <c r="A12" s="17" t="str">
        <v>11 A1</v>
      </c>
      <c r="B12" s="11" t="str">
        <v>Least Diversified w/ Nuclear</v>
      </c>
      <c r="C12" s="202">
        <v>12115.291757981862</v>
      </c>
    </row>
    <row r="13" spans="1:3" x14ac:dyDescent="0.3">
      <c r="A13" s="17" t="str">
        <v>11 A2</v>
      </c>
      <c r="B13" s="11" t="str">
        <v>Diversified + PNW PHES</v>
      </c>
      <c r="C13" s="202">
        <v>12115.291757981862</v>
      </c>
    </row>
    <row r="14" spans="1:3" x14ac:dyDescent="0.3">
      <c r="A14" s="17" t="str">
        <v>11 A3</v>
      </c>
      <c r="B14" s="11" t="str">
        <v>Diversified + DER Solar</v>
      </c>
      <c r="C14" s="202">
        <v>83902.523027568313</v>
      </c>
    </row>
    <row r="15" spans="1:3" x14ac:dyDescent="0.3">
      <c r="A15" s="17" t="str">
        <v>11 A4</v>
      </c>
      <c r="B15" s="11" t="str">
        <v>Diversified + DER Batteries</v>
      </c>
      <c r="C15" s="202">
        <v>83902.523027568313</v>
      </c>
    </row>
    <row r="16" spans="1:3" x14ac:dyDescent="0.3">
      <c r="A16" s="17" t="str">
        <v>11 A5</v>
      </c>
      <c r="B16" s="11" t="str">
        <v>Diversified + All DR Programs</v>
      </c>
      <c r="C16" s="202">
        <v>83902.523027568313</v>
      </c>
    </row>
    <row r="17" spans="1:3" x14ac:dyDescent="0.3">
      <c r="A17" s="17" t="str">
        <v>11 B1</v>
      </c>
      <c r="B17" s="11" t="str">
        <v>Least Diversified w/o Nuclear</v>
      </c>
      <c r="C17" s="202">
        <v>12115.291757981862</v>
      </c>
    </row>
    <row r="18" spans="1:3" x14ac:dyDescent="0.3">
      <c r="A18" s="17" t="str">
        <v>11 B2</v>
      </c>
      <c r="B18" s="11" t="str">
        <v>Most Diversified w/o Nuclear</v>
      </c>
      <c r="C18" s="202">
        <v>87491.884591047638</v>
      </c>
    </row>
    <row r="19" spans="1:3" x14ac:dyDescent="0.3">
      <c r="A19" s="17">
        <v>12</v>
      </c>
      <c r="B19" s="11" t="str">
        <v>100% Renewable/Non-Emitting by 2030</v>
      </c>
      <c r="C19" s="202">
        <v>0</v>
      </c>
    </row>
    <row r="20" spans="1:3" x14ac:dyDescent="0.3">
      <c r="A20" s="17">
        <v>13</v>
      </c>
      <c r="B20" s="11" t="str">
        <v>High Carbon Price</v>
      </c>
      <c r="C20" s="202">
        <v>12115.291757981862</v>
      </c>
    </row>
    <row r="21" spans="1:3" x14ac:dyDescent="0.3">
      <c r="A21" s="17">
        <v>14</v>
      </c>
      <c r="B21" s="11" t="str">
        <v>No H2 Fuel</v>
      </c>
      <c r="C21" s="202">
        <v>13311.74561247497</v>
      </c>
    </row>
    <row r="22" spans="1:3" x14ac:dyDescent="0.3">
      <c r="A22" s="17">
        <v>0</v>
      </c>
      <c r="B22" s="11">
        <v>0</v>
      </c>
      <c r="C22" s="202">
        <v>0</v>
      </c>
    </row>
    <row r="23" spans="1:3" x14ac:dyDescent="0.3">
      <c r="A23" s="17">
        <v>0</v>
      </c>
      <c r="B23" s="11">
        <v>0</v>
      </c>
      <c r="C23" s="202">
        <v>0</v>
      </c>
    </row>
    <row r="24" spans="1:3" x14ac:dyDescent="0.3">
      <c r="A24" s="17">
        <v>0</v>
      </c>
      <c r="B24" s="11">
        <v>0</v>
      </c>
      <c r="C24" s="202">
        <v>0</v>
      </c>
    </row>
    <row r="25" spans="1:3" x14ac:dyDescent="0.3">
      <c r="A25" s="17">
        <v>0</v>
      </c>
      <c r="B25" s="11">
        <v>0</v>
      </c>
      <c r="C25" s="202">
        <v>0</v>
      </c>
    </row>
    <row r="26" spans="1:3" x14ac:dyDescent="0.3">
      <c r="A26" s="17">
        <v>0</v>
      </c>
      <c r="B26" s="11">
        <v>0</v>
      </c>
      <c r="C26" s="202">
        <v>0</v>
      </c>
    </row>
    <row r="27" spans="1:3" x14ac:dyDescent="0.3">
      <c r="A27" s="17">
        <v>0</v>
      </c>
      <c r="B27" s="11">
        <v>0</v>
      </c>
      <c r="C27" s="202">
        <v>0</v>
      </c>
    </row>
    <row r="28" spans="1:3" x14ac:dyDescent="0.3">
      <c r="A28" s="17">
        <v>0</v>
      </c>
      <c r="B28" s="11">
        <v>0</v>
      </c>
      <c r="C28" s="202">
        <v>0</v>
      </c>
    </row>
    <row r="29" spans="1:3" x14ac:dyDescent="0.3">
      <c r="A29" s="17">
        <v>0</v>
      </c>
      <c r="B29" s="11">
        <v>0</v>
      </c>
      <c r="C29" s="202">
        <v>0</v>
      </c>
    </row>
    <row r="30" spans="1:3" x14ac:dyDescent="0.3">
      <c r="A30" s="17">
        <v>0</v>
      </c>
      <c r="B30" s="11">
        <v>0</v>
      </c>
      <c r="C30" s="202">
        <v>0</v>
      </c>
    </row>
    <row r="31" spans="1:3" x14ac:dyDescent="0.3">
      <c r="A31" s="181">
        <v>0</v>
      </c>
      <c r="B31" s="183">
        <v>0</v>
      </c>
      <c r="C31" s="203">
        <v>0</v>
      </c>
    </row>
    <row r="32" spans="1:3" x14ac:dyDescent="0.3">
      <c r="B32" s="191"/>
    </row>
    <row r="33" spans="1:31" x14ac:dyDescent="0.3">
      <c r="A33" s="32" t="s">
        <v>158</v>
      </c>
      <c r="B33" s="192">
        <f t="array" ref="B33:AE33">Aurora_Output!D3:AK3</f>
        <v>1</v>
      </c>
      <c r="C33" s="79">
        <v>2</v>
      </c>
      <c r="D33" s="79">
        <v>3</v>
      </c>
      <c r="E33" s="79">
        <v>4</v>
      </c>
      <c r="F33" s="79">
        <v>5</v>
      </c>
      <c r="G33" s="79">
        <v>6</v>
      </c>
      <c r="H33" s="79">
        <v>7</v>
      </c>
      <c r="I33" s="79">
        <v>8</v>
      </c>
      <c r="J33" s="79">
        <v>9</v>
      </c>
      <c r="K33" s="79">
        <v>10</v>
      </c>
      <c r="L33" s="79" t="str">
        <v>11 A1</v>
      </c>
      <c r="M33" s="79" t="str">
        <v>11 A2</v>
      </c>
      <c r="N33" s="79" t="str">
        <v>11 A3</v>
      </c>
      <c r="O33" s="79" t="str">
        <v>11 A4</v>
      </c>
      <c r="P33" s="79" t="str">
        <v>11 A5</v>
      </c>
      <c r="Q33" s="79" t="str">
        <v>11 B1</v>
      </c>
      <c r="R33" s="79" t="str">
        <v>11 B2</v>
      </c>
      <c r="S33" s="79">
        <v>12</v>
      </c>
      <c r="T33" s="79">
        <v>13</v>
      </c>
      <c r="U33" s="79">
        <v>14</v>
      </c>
      <c r="V33" s="79">
        <v>0</v>
      </c>
      <c r="W33" s="81">
        <v>0</v>
      </c>
      <c r="X33">
        <v>0</v>
      </c>
      <c r="Y33">
        <v>0</v>
      </c>
      <c r="Z33">
        <v>0</v>
      </c>
      <c r="AA33">
        <v>0</v>
      </c>
      <c r="AB33">
        <v>0</v>
      </c>
      <c r="AC33">
        <v>0</v>
      </c>
      <c r="AD33">
        <v>0</v>
      </c>
      <c r="AE33">
        <v>0</v>
      </c>
    </row>
    <row r="34" spans="1:31" x14ac:dyDescent="0.3">
      <c r="A34" s="34" t="s">
        <v>215</v>
      </c>
      <c r="B34" s="193">
        <f>Aurora_Output!D44*Net_Metering_Data!$F$16</f>
        <v>0</v>
      </c>
      <c r="C34" s="193">
        <f>Aurora_Output!E44*Net_Metering_Data!$F$16</f>
        <v>0</v>
      </c>
      <c r="D34" s="193">
        <f>Aurora_Output!F44*Net_Metering_Data!$F$16</f>
        <v>0</v>
      </c>
      <c r="E34" s="193">
        <f>Aurora_Output!G44*Net_Metering_Data!$F$16</f>
        <v>0</v>
      </c>
      <c r="F34" s="193">
        <f>Aurora_Output!H44*Net_Metering_Data!$F$16</f>
        <v>0</v>
      </c>
      <c r="G34" s="193">
        <f>Aurora_Output!I44*Net_Metering_Data!$F$16</f>
        <v>0</v>
      </c>
      <c r="H34" s="193">
        <f>Aurora_Output!J44*Net_Metering_Data!$F$16</f>
        <v>0</v>
      </c>
      <c r="I34" s="193">
        <f>Aurora_Output!K44*Net_Metering_Data!$F$16</f>
        <v>0</v>
      </c>
      <c r="J34" s="193">
        <f>Aurora_Output!L44*Net_Metering_Data!$F$16</f>
        <v>0</v>
      </c>
      <c r="K34" s="193">
        <f>Aurora_Output!M44*Net_Metering_Data!$F$16</f>
        <v>0</v>
      </c>
      <c r="L34" s="193">
        <f>Aurora_Output!N44*Net_Metering_Data!$F$16</f>
        <v>0</v>
      </c>
      <c r="M34" s="193">
        <f>Aurora_Output!O44*Net_Metering_Data!$F$16</f>
        <v>0</v>
      </c>
      <c r="N34" s="193">
        <f>Aurora_Output!P44*Net_Metering_Data!$F$16</f>
        <v>0</v>
      </c>
      <c r="O34" s="193">
        <f>Aurora_Output!Q44*Net_Metering_Data!$F$16</f>
        <v>0</v>
      </c>
      <c r="P34" s="193">
        <f>Aurora_Output!R44*Net_Metering_Data!$F$16</f>
        <v>0</v>
      </c>
      <c r="Q34" s="193">
        <f>Aurora_Output!S44*Net_Metering_Data!$F$16</f>
        <v>0</v>
      </c>
      <c r="R34" s="193">
        <f>Aurora_Output!T44*Net_Metering_Data!$F$16</f>
        <v>1196.4538544931074</v>
      </c>
      <c r="S34" s="193">
        <f>Aurora_Output!U44*Net_Metering_Data!$F$16</f>
        <v>0</v>
      </c>
      <c r="T34" s="193">
        <f>Aurora_Output!V44*Net_Metering_Data!$F$16</f>
        <v>0</v>
      </c>
      <c r="U34" s="193">
        <f>Aurora_Output!W44*Net_Metering_Data!$F$16</f>
        <v>1196.4538544931074</v>
      </c>
      <c r="V34" s="205"/>
      <c r="W34" s="205"/>
    </row>
    <row r="35" spans="1:31" x14ac:dyDescent="0.3">
      <c r="A35" s="34" t="s">
        <v>216</v>
      </c>
      <c r="B35" s="193">
        <f>Aurora_Output!D45*Net_Metering_Data!$F$16</f>
        <v>0</v>
      </c>
      <c r="C35" s="193">
        <f>Aurora_Output!E45*Net_Metering_Data!$F$16</f>
        <v>0</v>
      </c>
      <c r="D35" s="193">
        <f>Aurora_Output!F45*Net_Metering_Data!$F$16</f>
        <v>0</v>
      </c>
      <c r="E35" s="193">
        <f>Aurora_Output!G45*Net_Metering_Data!$F$16</f>
        <v>71787.231269586453</v>
      </c>
      <c r="F35" s="193">
        <f>Aurora_Output!H45*Net_Metering_Data!$F$16</f>
        <v>0</v>
      </c>
      <c r="G35" s="193">
        <f>Aurora_Output!I45*Net_Metering_Data!$F$16</f>
        <v>0</v>
      </c>
      <c r="H35" s="193">
        <f>Aurora_Output!J45*Net_Metering_Data!$F$16</f>
        <v>0</v>
      </c>
      <c r="I35" s="193">
        <f>Aurora_Output!K45*Net_Metering_Data!$F$16</f>
        <v>0</v>
      </c>
      <c r="J35" s="193">
        <f>Aurora_Output!L45*Net_Metering_Data!$F$16</f>
        <v>0</v>
      </c>
      <c r="K35" s="193">
        <f>Aurora_Output!M45*Net_Metering_Data!$F$16</f>
        <v>0</v>
      </c>
      <c r="L35" s="193">
        <f>Aurora_Output!N45*Net_Metering_Data!$F$16</f>
        <v>0</v>
      </c>
      <c r="M35" s="193">
        <f>Aurora_Output!O45*Net_Metering_Data!$F$16</f>
        <v>0</v>
      </c>
      <c r="N35" s="193">
        <f>Aurora_Output!P45*Net_Metering_Data!$F$16</f>
        <v>71787.231269586453</v>
      </c>
      <c r="O35" s="193">
        <f>Aurora_Output!Q45*Net_Metering_Data!$F$16</f>
        <v>71787.231269586453</v>
      </c>
      <c r="P35" s="193">
        <f>Aurora_Output!R45*Net_Metering_Data!$F$16</f>
        <v>71787.231269586453</v>
      </c>
      <c r="Q35" s="193">
        <f>Aurora_Output!S45*Net_Metering_Data!$F$16</f>
        <v>0</v>
      </c>
      <c r="R35" s="193">
        <f>Aurora_Output!T45*Net_Metering_Data!$F$16</f>
        <v>74180.138978572664</v>
      </c>
      <c r="S35" s="193">
        <f>Aurora_Output!U45*Net_Metering_Data!$F$16</f>
        <v>0</v>
      </c>
      <c r="T35" s="193">
        <f>Aurora_Output!V45*Net_Metering_Data!$F$16</f>
        <v>0</v>
      </c>
      <c r="U35" s="193">
        <f>Aurora_Output!W45*Net_Metering_Data!$F$16</f>
        <v>0</v>
      </c>
      <c r="V35" s="205"/>
      <c r="W35" s="205"/>
    </row>
    <row r="36" spans="1:31" x14ac:dyDescent="0.3">
      <c r="A36" s="34" t="s">
        <v>217</v>
      </c>
      <c r="B36" s="193">
        <f>Aurora_Output!D46*Net_Metering_Data!$F$16</f>
        <v>2663.306307486313</v>
      </c>
      <c r="C36" s="193">
        <f>Aurora_Output!E46*Net_Metering_Data!$F$16</f>
        <v>2663.306307486313</v>
      </c>
      <c r="D36" s="193">
        <f>Aurora_Output!F46*Net_Metering_Data!$F$16</f>
        <v>2663.306307486313</v>
      </c>
      <c r="E36" s="193">
        <f>Aurora_Output!G46*Net_Metering_Data!$F$16</f>
        <v>2663.306307486313</v>
      </c>
      <c r="F36" s="193">
        <f>Aurora_Output!H46*Net_Metering_Data!$F$16</f>
        <v>2663.306307486313</v>
      </c>
      <c r="G36" s="193">
        <f>Aurora_Output!I46*Net_Metering_Data!$F$16</f>
        <v>2663.306307486313</v>
      </c>
      <c r="H36" s="193">
        <f>Aurora_Output!J46*Net_Metering_Data!$F$16</f>
        <v>2663.306307486313</v>
      </c>
      <c r="I36" s="193">
        <f>Aurora_Output!K46*Net_Metering_Data!$F$16</f>
        <v>2663.306307486313</v>
      </c>
      <c r="J36" s="193">
        <f>Aurora_Output!L46*Net_Metering_Data!$F$16</f>
        <v>2663.306307486313</v>
      </c>
      <c r="K36" s="193">
        <f>Aurora_Output!M46*Net_Metering_Data!$F$16</f>
        <v>2663.306307486313</v>
      </c>
      <c r="L36" s="193">
        <f>Aurora_Output!N46*Net_Metering_Data!$F$16</f>
        <v>2663.306307486313</v>
      </c>
      <c r="M36" s="193">
        <f>Aurora_Output!O46*Net_Metering_Data!$F$16</f>
        <v>2663.306307486313</v>
      </c>
      <c r="N36" s="193">
        <f>Aurora_Output!P46*Net_Metering_Data!$F$16</f>
        <v>2663.306307486313</v>
      </c>
      <c r="O36" s="193">
        <f>Aurora_Output!Q46*Net_Metering_Data!$F$16</f>
        <v>2663.306307486313</v>
      </c>
      <c r="P36" s="193">
        <f>Aurora_Output!R46*Net_Metering_Data!$F$16</f>
        <v>2663.306307486313</v>
      </c>
      <c r="Q36" s="193">
        <f>Aurora_Output!S46*Net_Metering_Data!$F$16</f>
        <v>2663.306307486313</v>
      </c>
      <c r="R36" s="193">
        <f>Aurora_Output!T46*Net_Metering_Data!$F$16</f>
        <v>2663.306307486313</v>
      </c>
      <c r="S36" s="193">
        <f>Aurora_Output!U46*Net_Metering_Data!$F$16</f>
        <v>0</v>
      </c>
      <c r="T36" s="193">
        <f>Aurora_Output!V46*Net_Metering_Data!$F$16</f>
        <v>2663.306307486313</v>
      </c>
      <c r="U36" s="193">
        <f>Aurora_Output!W46*Net_Metering_Data!$F$16</f>
        <v>2663.306307486313</v>
      </c>
      <c r="V36" s="205"/>
      <c r="W36" s="205"/>
    </row>
    <row r="37" spans="1:31" x14ac:dyDescent="0.3">
      <c r="A37" s="34" t="s">
        <v>224</v>
      </c>
      <c r="B37" s="193">
        <f>Aurora_Output!D53*Net_Metering_Data!$F$16</f>
        <v>9451.9854504955492</v>
      </c>
      <c r="C37" s="193">
        <f>Aurora_Output!E53*Net_Metering_Data!$F$16</f>
        <v>9451.9854504955492</v>
      </c>
      <c r="D37" s="193">
        <f>Aurora_Output!F53*Net_Metering_Data!$F$16</f>
        <v>9451.9854504955492</v>
      </c>
      <c r="E37" s="193">
        <f>Aurora_Output!G53*Net_Metering_Data!$F$16</f>
        <v>9451.9854504955492</v>
      </c>
      <c r="F37" s="193">
        <f>Aurora_Output!H53*Net_Metering_Data!$F$16</f>
        <v>9451.9854504955492</v>
      </c>
      <c r="G37" s="193">
        <f>Aurora_Output!I53*Net_Metering_Data!$F$16</f>
        <v>9451.9854504955492</v>
      </c>
      <c r="H37" s="193">
        <f>Aurora_Output!J53*Net_Metering_Data!$F$16</f>
        <v>9451.9854504955492</v>
      </c>
      <c r="I37" s="193">
        <f>Aurora_Output!K53*Net_Metering_Data!$F$16</f>
        <v>9451.9854504955492</v>
      </c>
      <c r="J37" s="193">
        <f>Aurora_Output!L53*Net_Metering_Data!$F$16</f>
        <v>9451.9854504955492</v>
      </c>
      <c r="K37" s="193">
        <f>Aurora_Output!M53*Net_Metering_Data!$F$16</f>
        <v>9451.9854504955492</v>
      </c>
      <c r="L37" s="193">
        <f>Aurora_Output!N53*Net_Metering_Data!$F$16</f>
        <v>9451.9854504955492</v>
      </c>
      <c r="M37" s="193">
        <f>Aurora_Output!O53*Net_Metering_Data!$F$16</f>
        <v>9451.9854504955492</v>
      </c>
      <c r="N37" s="193">
        <f>Aurora_Output!P53*Net_Metering_Data!$F$16</f>
        <v>9451.9854504955492</v>
      </c>
      <c r="O37" s="193">
        <f>Aurora_Output!Q53*Net_Metering_Data!$F$16</f>
        <v>9451.9854504955492</v>
      </c>
      <c r="P37" s="193">
        <f>Aurora_Output!R53*Net_Metering_Data!$F$16</f>
        <v>9451.9854504955492</v>
      </c>
      <c r="Q37" s="193">
        <f>Aurora_Output!S53*Net_Metering_Data!$F$16</f>
        <v>9451.9854504955492</v>
      </c>
      <c r="R37" s="193">
        <f>Aurora_Output!T53*Net_Metering_Data!$F$16</f>
        <v>9451.9854504955492</v>
      </c>
      <c r="S37" s="193">
        <f>Aurora_Output!U53*Net_Metering_Data!$F$16</f>
        <v>0</v>
      </c>
      <c r="T37" s="193">
        <f>Aurora_Output!V53*Net_Metering_Data!$F$16</f>
        <v>9451.9854504955492</v>
      </c>
      <c r="U37" s="193">
        <f>Aurora_Output!W53*Net_Metering_Data!$F$16</f>
        <v>9451.9854504955492</v>
      </c>
      <c r="V37" s="205"/>
      <c r="W37" s="205"/>
    </row>
    <row r="38" spans="1:31" x14ac:dyDescent="0.3">
      <c r="A38" s="36" t="s">
        <v>30</v>
      </c>
      <c r="B38" s="194">
        <f>SUM(B34:B37)</f>
        <v>12115.291757981862</v>
      </c>
      <c r="C38" s="194">
        <f t="shared" ref="C38:M38" si="0">SUM(C34:C37)</f>
        <v>12115.291757981862</v>
      </c>
      <c r="D38" s="194">
        <f t="shared" si="0"/>
        <v>12115.291757981862</v>
      </c>
      <c r="E38" s="194">
        <f t="shared" si="0"/>
        <v>83902.523027568313</v>
      </c>
      <c r="F38" s="194">
        <f t="shared" si="0"/>
        <v>12115.291757981862</v>
      </c>
      <c r="G38" s="194">
        <f t="shared" si="0"/>
        <v>12115.291757981862</v>
      </c>
      <c r="H38" s="194">
        <f t="shared" si="0"/>
        <v>12115.291757981862</v>
      </c>
      <c r="I38" s="194">
        <f t="shared" si="0"/>
        <v>12115.291757981862</v>
      </c>
      <c r="J38" s="194">
        <f t="shared" si="0"/>
        <v>12115.291757981862</v>
      </c>
      <c r="K38" s="194">
        <f t="shared" si="0"/>
        <v>12115.291757981862</v>
      </c>
      <c r="L38" s="194">
        <f t="shared" si="0"/>
        <v>12115.291757981862</v>
      </c>
      <c r="M38" s="194">
        <f t="shared" si="0"/>
        <v>12115.291757981862</v>
      </c>
      <c r="N38" s="194">
        <f t="shared" ref="N38:S38" si="1">SUM(N34:N37)</f>
        <v>83902.523027568313</v>
      </c>
      <c r="O38" s="194">
        <f t="shared" si="1"/>
        <v>83902.523027568313</v>
      </c>
      <c r="P38" s="194">
        <f t="shared" si="1"/>
        <v>83902.523027568313</v>
      </c>
      <c r="Q38" s="194">
        <f t="shared" si="1"/>
        <v>12115.291757981862</v>
      </c>
      <c r="R38" s="194">
        <f t="shared" si="1"/>
        <v>87491.884591047638</v>
      </c>
      <c r="S38" s="194">
        <f t="shared" si="1"/>
        <v>0</v>
      </c>
      <c r="T38" s="194">
        <f t="shared" ref="T38:U38" si="2">SUM(T34:T37)</f>
        <v>12115.291757981862</v>
      </c>
      <c r="U38" s="194">
        <f t="shared" si="2"/>
        <v>13311.74561247497</v>
      </c>
      <c r="V38" s="206"/>
      <c r="W38" s="206"/>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9"/>
  <sheetViews>
    <sheetView topLeftCell="A16" workbookViewId="0"/>
  </sheetViews>
  <sheetFormatPr defaultRowHeight="14.4" x14ac:dyDescent="0.3"/>
  <cols>
    <col min="1" max="1" width="23.109375" customWidth="1"/>
    <col min="2" max="2" width="23.33203125" customWidth="1"/>
    <col min="3" max="3" width="16.109375" customWidth="1"/>
    <col min="4" max="6" width="9.44140625" bestFit="1" customWidth="1"/>
    <col min="7" max="7" width="10.5546875" bestFit="1" customWidth="1"/>
    <col min="8" max="21" width="9.44140625" bestFit="1" customWidth="1"/>
  </cols>
  <sheetData>
    <row r="1" spans="1:3" ht="57.6" x14ac:dyDescent="0.3">
      <c r="A1" s="14" t="s">
        <v>259</v>
      </c>
      <c r="B1" s="199" t="s">
        <v>265</v>
      </c>
      <c r="C1" s="16" t="s">
        <v>278</v>
      </c>
    </row>
    <row r="2" spans="1:3" x14ac:dyDescent="0.3">
      <c r="A2" s="182">
        <f t="array" ref="A2:B31">Aurora_Output!AM3:AN32</f>
        <v>1</v>
      </c>
      <c r="B2" s="201" t="str">
        <v>Reference</v>
      </c>
      <c r="C2" s="187">
        <f t="array" ref="C2:C31">TRANSPOSE(B39:AE39)</f>
        <v>8125.0872024574201</v>
      </c>
    </row>
    <row r="3" spans="1:3" x14ac:dyDescent="0.3">
      <c r="A3" s="182">
        <v>2</v>
      </c>
      <c r="B3" s="201" t="str">
        <v>DSM Bundle 10</v>
      </c>
      <c r="C3" s="187">
        <v>8125.0872024574201</v>
      </c>
    </row>
    <row r="4" spans="1:3" x14ac:dyDescent="0.3">
      <c r="A4" s="182">
        <v>3</v>
      </c>
      <c r="B4" s="201" t="str">
        <v>DSM Bundle 7</v>
      </c>
      <c r="C4" s="187">
        <v>8125.0872024574201</v>
      </c>
    </row>
    <row r="5" spans="1:3" x14ac:dyDescent="0.3">
      <c r="A5" s="182">
        <v>4</v>
      </c>
      <c r="B5" s="201" t="str">
        <v>DER Solar</v>
      </c>
      <c r="C5" s="187">
        <v>8125.0872024574201</v>
      </c>
    </row>
    <row r="6" spans="1:3" x14ac:dyDescent="0.3">
      <c r="A6" s="182">
        <v>5</v>
      </c>
      <c r="B6" s="201" t="str">
        <v>DER Batteries</v>
      </c>
      <c r="C6" s="187">
        <v>18524.089696223007</v>
      </c>
    </row>
    <row r="7" spans="1:3" x14ac:dyDescent="0.3">
      <c r="A7" s="182">
        <v>6</v>
      </c>
      <c r="B7" s="201" t="str">
        <v>MT Overbuild, PHES + All East Wind</v>
      </c>
      <c r="C7" s="187">
        <v>8125.0872024574201</v>
      </c>
    </row>
    <row r="8" spans="1:3" x14ac:dyDescent="0.3">
      <c r="A8" s="182">
        <v>7</v>
      </c>
      <c r="B8" s="201" t="str">
        <v>MT Overbuild, PHES + East, Central Wind</v>
      </c>
      <c r="C8" s="187">
        <v>8125.0872024574201</v>
      </c>
    </row>
    <row r="9" spans="1:3" x14ac:dyDescent="0.3">
      <c r="A9" s="182">
        <v>8</v>
      </c>
      <c r="B9" s="201" t="str">
        <v>PNW PHES</v>
      </c>
      <c r="C9" s="187">
        <v>8125.0872024574201</v>
      </c>
    </row>
    <row r="10" spans="1:3" x14ac:dyDescent="0.3">
      <c r="A10" s="17">
        <v>9</v>
      </c>
      <c r="B10" s="11" t="str">
        <v>Nuclear</v>
      </c>
      <c r="C10" s="202">
        <v>8125.0872024574201</v>
      </c>
    </row>
    <row r="11" spans="1:3" x14ac:dyDescent="0.3">
      <c r="A11" s="17">
        <v>10</v>
      </c>
      <c r="B11" s="11" t="str">
        <v>Restricted Thermal</v>
      </c>
      <c r="C11" s="202">
        <v>8125.0872024574201</v>
      </c>
    </row>
    <row r="12" spans="1:3" x14ac:dyDescent="0.3">
      <c r="A12" s="17" t="str">
        <v>11 A1</v>
      </c>
      <c r="B12" s="11" t="str">
        <v>Least Diversified w/ Nuclear</v>
      </c>
      <c r="C12" s="202">
        <v>8125.0872024574201</v>
      </c>
    </row>
    <row r="13" spans="1:3" x14ac:dyDescent="0.3">
      <c r="A13" s="17" t="str">
        <v>11 A2</v>
      </c>
      <c r="B13" s="11" t="str">
        <v>Diversified + PNW PHES</v>
      </c>
      <c r="C13" s="202">
        <v>8818.354035375125</v>
      </c>
    </row>
    <row r="14" spans="1:3" x14ac:dyDescent="0.3">
      <c r="A14" s="17" t="str">
        <v>11 A3</v>
      </c>
      <c r="B14" s="11" t="str">
        <v>Diversified + DER Solar</v>
      </c>
      <c r="C14" s="202">
        <v>8125.0872024574201</v>
      </c>
    </row>
    <row r="15" spans="1:3" x14ac:dyDescent="0.3">
      <c r="A15" s="17" t="str">
        <v>11 A4</v>
      </c>
      <c r="B15" s="11" t="str">
        <v>Diversified + DER Batteries</v>
      </c>
      <c r="C15" s="202">
        <v>18524.089696223007</v>
      </c>
    </row>
    <row r="16" spans="1:3" x14ac:dyDescent="0.3">
      <c r="A16" s="17" t="str">
        <v>11 A5</v>
      </c>
      <c r="B16" s="11" t="str">
        <v>Diversified + All DR Programs</v>
      </c>
      <c r="C16" s="202">
        <v>18524.089696223007</v>
      </c>
    </row>
    <row r="17" spans="1:3" x14ac:dyDescent="0.3">
      <c r="A17" s="17" t="str">
        <v>11 B1</v>
      </c>
      <c r="B17" s="11" t="str">
        <v>Least Diversified w/o Nuclear</v>
      </c>
      <c r="C17" s="202">
        <v>9164.9874518339784</v>
      </c>
    </row>
    <row r="18" spans="1:3" x14ac:dyDescent="0.3">
      <c r="A18" s="17" t="str">
        <v>11 B2</v>
      </c>
      <c r="B18" s="11" t="str">
        <v>Most Diversified w/o Nuclear</v>
      </c>
      <c r="C18" s="202">
        <v>18524.089696223007</v>
      </c>
    </row>
    <row r="19" spans="1:3" x14ac:dyDescent="0.3">
      <c r="A19" s="17">
        <v>12</v>
      </c>
      <c r="B19" s="11" t="str">
        <v>100% Renewable/Non-Emitting by 2030</v>
      </c>
      <c r="C19" s="202">
        <v>0</v>
      </c>
    </row>
    <row r="20" spans="1:3" x14ac:dyDescent="0.3">
      <c r="A20" s="17">
        <v>13</v>
      </c>
      <c r="B20" s="11" t="str">
        <v>High Carbon Price</v>
      </c>
      <c r="C20" s="202">
        <v>8125.0872024574201</v>
      </c>
    </row>
    <row r="21" spans="1:3" x14ac:dyDescent="0.3">
      <c r="A21" s="17">
        <v>14</v>
      </c>
      <c r="B21" s="11" t="str">
        <v>No H2 Fuel</v>
      </c>
      <c r="C21" s="202">
        <v>8125.0872024574201</v>
      </c>
    </row>
    <row r="22" spans="1:3" x14ac:dyDescent="0.3">
      <c r="A22" s="17">
        <v>0</v>
      </c>
      <c r="B22" s="11">
        <v>0</v>
      </c>
      <c r="C22" s="202">
        <v>0</v>
      </c>
    </row>
    <row r="23" spans="1:3" x14ac:dyDescent="0.3">
      <c r="A23" s="17">
        <v>0</v>
      </c>
      <c r="B23" s="11">
        <v>0</v>
      </c>
      <c r="C23" s="202">
        <v>0</v>
      </c>
    </row>
    <row r="24" spans="1:3" x14ac:dyDescent="0.3">
      <c r="A24" s="17">
        <v>0</v>
      </c>
      <c r="B24" s="11">
        <v>0</v>
      </c>
      <c r="C24" s="202">
        <v>0</v>
      </c>
    </row>
    <row r="25" spans="1:3" x14ac:dyDescent="0.3">
      <c r="A25" s="17">
        <v>0</v>
      </c>
      <c r="B25" s="11">
        <v>0</v>
      </c>
      <c r="C25" s="202">
        <v>0</v>
      </c>
    </row>
    <row r="26" spans="1:3" x14ac:dyDescent="0.3">
      <c r="A26" s="17">
        <v>0</v>
      </c>
      <c r="B26" s="11">
        <v>0</v>
      </c>
      <c r="C26" s="202">
        <v>0</v>
      </c>
    </row>
    <row r="27" spans="1:3" x14ac:dyDescent="0.3">
      <c r="A27" s="17">
        <v>0</v>
      </c>
      <c r="B27" s="11">
        <v>0</v>
      </c>
      <c r="C27" s="202">
        <v>0</v>
      </c>
    </row>
    <row r="28" spans="1:3" x14ac:dyDescent="0.3">
      <c r="A28" s="17">
        <v>0</v>
      </c>
      <c r="B28" s="11">
        <v>0</v>
      </c>
      <c r="C28" s="202">
        <v>0</v>
      </c>
    </row>
    <row r="29" spans="1:3" x14ac:dyDescent="0.3">
      <c r="A29" s="17">
        <v>0</v>
      </c>
      <c r="B29" s="11">
        <v>0</v>
      </c>
      <c r="C29" s="202">
        <v>0</v>
      </c>
    </row>
    <row r="30" spans="1:3" x14ac:dyDescent="0.3">
      <c r="A30" s="17">
        <v>0</v>
      </c>
      <c r="B30" s="11">
        <v>0</v>
      </c>
      <c r="C30" s="202">
        <v>0</v>
      </c>
    </row>
    <row r="31" spans="1:3" x14ac:dyDescent="0.3">
      <c r="A31" s="181">
        <v>0</v>
      </c>
      <c r="B31" s="183">
        <v>0</v>
      </c>
      <c r="C31" s="203">
        <v>0</v>
      </c>
    </row>
    <row r="32" spans="1:3" x14ac:dyDescent="0.3">
      <c r="B32" s="2"/>
    </row>
    <row r="33" spans="1:31" x14ac:dyDescent="0.3">
      <c r="A33" s="31"/>
      <c r="B33" s="4"/>
    </row>
    <row r="35" spans="1:31" x14ac:dyDescent="0.3">
      <c r="A35" s="32" t="s">
        <v>158</v>
      </c>
      <c r="B35" s="79">
        <f t="array" ref="B35:AE35">Aurora_Output!D3:AK3</f>
        <v>1</v>
      </c>
      <c r="C35" s="79">
        <v>2</v>
      </c>
      <c r="D35" s="79">
        <v>3</v>
      </c>
      <c r="E35" s="79">
        <v>4</v>
      </c>
      <c r="F35" s="79">
        <v>5</v>
      </c>
      <c r="G35" s="79">
        <v>6</v>
      </c>
      <c r="H35" s="79">
        <v>7</v>
      </c>
      <c r="I35" s="79">
        <v>8</v>
      </c>
      <c r="J35" s="79">
        <v>9</v>
      </c>
      <c r="K35" s="79">
        <v>10</v>
      </c>
      <c r="L35" s="79" t="str">
        <v>11 A1</v>
      </c>
      <c r="M35" s="79" t="str">
        <v>11 A2</v>
      </c>
      <c r="N35" s="79" t="str">
        <v>11 A3</v>
      </c>
      <c r="O35" s="79" t="str">
        <v>11 A4</v>
      </c>
      <c r="P35" s="79" t="str">
        <v>11 A5</v>
      </c>
      <c r="Q35" s="79" t="str">
        <v>11 B1</v>
      </c>
      <c r="R35" s="79" t="str">
        <v>11 B2</v>
      </c>
      <c r="S35" s="79">
        <v>12</v>
      </c>
      <c r="T35" s="79">
        <v>13</v>
      </c>
      <c r="U35" s="79">
        <v>14</v>
      </c>
      <c r="V35" s="23">
        <v>0</v>
      </c>
      <c r="W35" s="23">
        <v>0</v>
      </c>
      <c r="X35" s="23">
        <v>0</v>
      </c>
      <c r="Y35" s="23">
        <v>0</v>
      </c>
      <c r="Z35" s="23">
        <v>0</v>
      </c>
      <c r="AA35" s="23">
        <v>0</v>
      </c>
      <c r="AB35" s="23">
        <v>0</v>
      </c>
      <c r="AC35" s="23">
        <v>0</v>
      </c>
      <c r="AD35" s="23">
        <v>0</v>
      </c>
      <c r="AE35" s="23">
        <v>0</v>
      </c>
    </row>
    <row r="36" spans="1:31" x14ac:dyDescent="0.3">
      <c r="A36" t="s">
        <v>208</v>
      </c>
      <c r="B36" s="166">
        <f>Aurora_Output!D$37*Net_Metering_Data!$F$18</f>
        <v>0</v>
      </c>
      <c r="C36" s="166">
        <f>Aurora_Output!E$37*Net_Metering_Data!$F$18</f>
        <v>0</v>
      </c>
      <c r="D36" s="166">
        <f>Aurora_Output!F$37*Net_Metering_Data!$F$18</f>
        <v>0</v>
      </c>
      <c r="E36" s="166">
        <f>Aurora_Output!G$37*Net_Metering_Data!$F$18</f>
        <v>0</v>
      </c>
      <c r="F36" s="166">
        <f>Aurora_Output!H$37*Net_Metering_Data!$F$18</f>
        <v>10399.002493765587</v>
      </c>
      <c r="G36" s="166">
        <f>Aurora_Output!I$37*Net_Metering_Data!$F$18</f>
        <v>0</v>
      </c>
      <c r="H36" s="166">
        <f>Aurora_Output!J$37*Net_Metering_Data!$F$18</f>
        <v>0</v>
      </c>
      <c r="I36" s="166">
        <f>Aurora_Output!K$37*Net_Metering_Data!$F$18</f>
        <v>0</v>
      </c>
      <c r="J36" s="166">
        <f>Aurora_Output!L$37*Net_Metering_Data!$F$18</f>
        <v>0</v>
      </c>
      <c r="K36" s="166">
        <f>Aurora_Output!M$37*Net_Metering_Data!$F$18</f>
        <v>0</v>
      </c>
      <c r="L36" s="166">
        <f>Aurora_Output!N$37*Net_Metering_Data!$F$18</f>
        <v>0</v>
      </c>
      <c r="M36" s="166">
        <f>Aurora_Output!O$37*Net_Metering_Data!$F$18</f>
        <v>693.26683291770576</v>
      </c>
      <c r="N36" s="166">
        <f>Aurora_Output!P$37*Net_Metering_Data!$F$18</f>
        <v>0</v>
      </c>
      <c r="O36" s="166">
        <f>Aurora_Output!Q$37*Net_Metering_Data!$F$18</f>
        <v>10399.002493765587</v>
      </c>
      <c r="P36" s="166">
        <f>Aurora_Output!R$37*Net_Metering_Data!$F$18</f>
        <v>10399.002493765587</v>
      </c>
      <c r="Q36" s="166">
        <f>Aurora_Output!S$37*Net_Metering_Data!$F$18</f>
        <v>1039.9002493765586</v>
      </c>
      <c r="R36" s="166">
        <f>Aurora_Output!T$37*Net_Metering_Data!$F$18</f>
        <v>10399.002493765587</v>
      </c>
      <c r="S36" s="166">
        <f>Aurora_Output!U$37*Net_Metering_Data!$F$18</f>
        <v>0</v>
      </c>
      <c r="T36" s="166">
        <f>Aurora_Output!V$37*Net_Metering_Data!$F$18</f>
        <v>0</v>
      </c>
      <c r="U36" s="166">
        <f>Aurora_Output!W$37*Net_Metering_Data!$F$18</f>
        <v>0</v>
      </c>
      <c r="V36" s="23"/>
      <c r="W36" s="23"/>
    </row>
    <row r="37" spans="1:31" x14ac:dyDescent="0.3">
      <c r="A37" t="s">
        <v>218</v>
      </c>
      <c r="B37" s="56">
        <f>Aurora_Output!D$47*Net_Metering_Data!$F$18</f>
        <v>6350.3240837420617</v>
      </c>
      <c r="C37" s="56">
        <f>Aurora_Output!E$47*Net_Metering_Data!$F$18</f>
        <v>6350.3240837420617</v>
      </c>
      <c r="D37" s="56">
        <f>Aurora_Output!F$47*Net_Metering_Data!$F$18</f>
        <v>6350.3240837420617</v>
      </c>
      <c r="E37" s="56">
        <f>Aurora_Output!G$47*Net_Metering_Data!$F$18</f>
        <v>6350.3240837420617</v>
      </c>
      <c r="F37" s="56">
        <f>Aurora_Output!H$47*Net_Metering_Data!$F$18</f>
        <v>6350.3240837420617</v>
      </c>
      <c r="G37" s="56">
        <f>Aurora_Output!I$47*Net_Metering_Data!$F$18</f>
        <v>6350.3240837420617</v>
      </c>
      <c r="H37" s="56">
        <f>Aurora_Output!J$47*Net_Metering_Data!$F$18</f>
        <v>6350.3240837420617</v>
      </c>
      <c r="I37" s="56">
        <f>Aurora_Output!K$47*Net_Metering_Data!$F$18</f>
        <v>6350.3240837420617</v>
      </c>
      <c r="J37" s="56">
        <f>Aurora_Output!L$47*Net_Metering_Data!$F$18</f>
        <v>6350.3240837420617</v>
      </c>
      <c r="K37" s="56">
        <f>Aurora_Output!M$47*Net_Metering_Data!$F$18</f>
        <v>6350.3240837420617</v>
      </c>
      <c r="L37" s="56">
        <f>Aurora_Output!N$47*Net_Metering_Data!$F$18</f>
        <v>6350.3240837420617</v>
      </c>
      <c r="M37" s="56">
        <f>Aurora_Output!O$47*Net_Metering_Data!$F$18</f>
        <v>6350.3240837420617</v>
      </c>
      <c r="N37" s="56">
        <f>Aurora_Output!P$47*Net_Metering_Data!$F$18</f>
        <v>6350.3240837420617</v>
      </c>
      <c r="O37" s="56">
        <f>Aurora_Output!Q$47*Net_Metering_Data!$F$18</f>
        <v>6350.3240837420617</v>
      </c>
      <c r="P37" s="56">
        <f>Aurora_Output!R$47*Net_Metering_Data!$F$18</f>
        <v>6350.3240837420617</v>
      </c>
      <c r="Q37" s="56">
        <f>Aurora_Output!S$47*Net_Metering_Data!$F$18</f>
        <v>6350.3240837420617</v>
      </c>
      <c r="R37" s="56">
        <f>Aurora_Output!T$47*Net_Metering_Data!$F$18</f>
        <v>6350.3240837420617</v>
      </c>
      <c r="S37" s="56">
        <f>Aurora_Output!U$47*Net_Metering_Data!$F$18</f>
        <v>0</v>
      </c>
      <c r="T37" s="56">
        <f>Aurora_Output!V$47*Net_Metering_Data!$F$18</f>
        <v>6350.3240837420617</v>
      </c>
      <c r="U37" s="56">
        <f>Aurora_Output!W$47*Net_Metering_Data!$F$18</f>
        <v>6350.3240837420617</v>
      </c>
    </row>
    <row r="38" spans="1:31" x14ac:dyDescent="0.3">
      <c r="A38" t="s">
        <v>225</v>
      </c>
      <c r="B38" s="56">
        <f>Aurora_Output!D$54*Net_Metering_Data!$F$18</f>
        <v>1774.7631187153579</v>
      </c>
      <c r="C38" s="56">
        <f>Aurora_Output!E$54*Net_Metering_Data!$F$18</f>
        <v>1774.7631187153579</v>
      </c>
      <c r="D38" s="56">
        <f>Aurora_Output!F$54*Net_Metering_Data!$F$18</f>
        <v>1774.7631187153579</v>
      </c>
      <c r="E38" s="56">
        <f>Aurora_Output!G$54*Net_Metering_Data!$F$18</f>
        <v>1774.7631187153579</v>
      </c>
      <c r="F38" s="56">
        <f>Aurora_Output!H$54*Net_Metering_Data!$F$18</f>
        <v>1774.7631187153579</v>
      </c>
      <c r="G38" s="56">
        <f>Aurora_Output!I$54*Net_Metering_Data!$F$18</f>
        <v>1774.7631187153579</v>
      </c>
      <c r="H38" s="56">
        <f>Aurora_Output!J$54*Net_Metering_Data!$F$18</f>
        <v>1774.7631187153579</v>
      </c>
      <c r="I38" s="56">
        <f>Aurora_Output!K$54*Net_Metering_Data!$F$18</f>
        <v>1774.7631187153579</v>
      </c>
      <c r="J38" s="56">
        <f>Aurora_Output!L$54*Net_Metering_Data!$F$18</f>
        <v>1774.7631187153579</v>
      </c>
      <c r="K38" s="56">
        <f>Aurora_Output!M$54*Net_Metering_Data!$F$18</f>
        <v>1774.7631187153579</v>
      </c>
      <c r="L38" s="56">
        <f>Aurora_Output!N$54*Net_Metering_Data!$F$18</f>
        <v>1774.7631187153579</v>
      </c>
      <c r="M38" s="56">
        <f>Aurora_Output!O$54*Net_Metering_Data!$F$18</f>
        <v>1774.7631187153579</v>
      </c>
      <c r="N38" s="56">
        <f>Aurora_Output!P$54*Net_Metering_Data!$F$18</f>
        <v>1774.7631187153579</v>
      </c>
      <c r="O38" s="56">
        <f>Aurora_Output!Q$54*Net_Metering_Data!$F$18</f>
        <v>1774.7631187153579</v>
      </c>
      <c r="P38" s="56">
        <f>Aurora_Output!R$54*Net_Metering_Data!$F$18</f>
        <v>1774.7631187153579</v>
      </c>
      <c r="Q38" s="56">
        <f>Aurora_Output!S$54*Net_Metering_Data!$F$18</f>
        <v>1774.7631187153579</v>
      </c>
      <c r="R38" s="56">
        <f>Aurora_Output!T$54*Net_Metering_Data!$F$18</f>
        <v>1774.7631187153579</v>
      </c>
      <c r="S38" s="56">
        <f>Aurora_Output!U$54*Net_Metering_Data!$F$18</f>
        <v>0</v>
      </c>
      <c r="T38" s="56">
        <f>Aurora_Output!V$54*Net_Metering_Data!$F$18</f>
        <v>1774.7631187153579</v>
      </c>
      <c r="U38" s="56">
        <f>Aurora_Output!W$54*Net_Metering_Data!$F$18</f>
        <v>1774.7631187153579</v>
      </c>
    </row>
    <row r="39" spans="1:31" s="153" customFormat="1" x14ac:dyDescent="0.3">
      <c r="A39" s="207" t="s">
        <v>30</v>
      </c>
      <c r="B39" s="208">
        <f>SUM(B36:B38)</f>
        <v>8125.0872024574201</v>
      </c>
      <c r="C39" s="208">
        <f t="shared" ref="C39:U39" si="0">SUM(C36:C38)</f>
        <v>8125.0872024574201</v>
      </c>
      <c r="D39" s="208">
        <f t="shared" si="0"/>
        <v>8125.0872024574201</v>
      </c>
      <c r="E39" s="208">
        <f t="shared" si="0"/>
        <v>8125.0872024574201</v>
      </c>
      <c r="F39" s="208">
        <f t="shared" si="0"/>
        <v>18524.089696223007</v>
      </c>
      <c r="G39" s="208">
        <f t="shared" si="0"/>
        <v>8125.0872024574201</v>
      </c>
      <c r="H39" s="208">
        <f t="shared" si="0"/>
        <v>8125.0872024574201</v>
      </c>
      <c r="I39" s="208">
        <f t="shared" si="0"/>
        <v>8125.0872024574201</v>
      </c>
      <c r="J39" s="208">
        <f t="shared" si="0"/>
        <v>8125.0872024574201</v>
      </c>
      <c r="K39" s="208">
        <f t="shared" si="0"/>
        <v>8125.0872024574201</v>
      </c>
      <c r="L39" s="208">
        <f t="shared" si="0"/>
        <v>8125.0872024574201</v>
      </c>
      <c r="M39" s="208">
        <f t="shared" ref="M39:S39" si="1">SUM(M36:M38)</f>
        <v>8818.354035375125</v>
      </c>
      <c r="N39" s="208">
        <f t="shared" si="1"/>
        <v>8125.0872024574201</v>
      </c>
      <c r="O39" s="208">
        <f t="shared" si="1"/>
        <v>18524.089696223007</v>
      </c>
      <c r="P39" s="208">
        <f t="shared" si="1"/>
        <v>18524.089696223007</v>
      </c>
      <c r="Q39" s="208">
        <f t="shared" si="1"/>
        <v>9164.9874518339784</v>
      </c>
      <c r="R39" s="208">
        <f t="shared" si="1"/>
        <v>18524.089696223007</v>
      </c>
      <c r="S39" s="208">
        <f t="shared" si="1"/>
        <v>0</v>
      </c>
      <c r="T39" s="208">
        <f t="shared" si="0"/>
        <v>8125.0872024574201</v>
      </c>
      <c r="U39" s="208">
        <f t="shared" si="0"/>
        <v>8125.0872024574201</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9"/>
  <sheetViews>
    <sheetView topLeftCell="A5" workbookViewId="0">
      <selection activeCell="U40" sqref="U40"/>
    </sheetView>
  </sheetViews>
  <sheetFormatPr defaultRowHeight="14.4" x14ac:dyDescent="0.3"/>
  <cols>
    <col min="1" max="1" width="28.109375" customWidth="1"/>
    <col min="2" max="2" width="37.5546875" customWidth="1"/>
    <col min="3" max="3" width="11.5546875" bestFit="1" customWidth="1"/>
    <col min="4" max="23" width="11.109375" bestFit="1" customWidth="1"/>
  </cols>
  <sheetData>
    <row r="1" spans="1:3" ht="28.8" x14ac:dyDescent="0.3">
      <c r="A1" s="14" t="s">
        <v>259</v>
      </c>
      <c r="B1" s="15" t="s">
        <v>265</v>
      </c>
      <c r="C1" s="16" t="s">
        <v>279</v>
      </c>
    </row>
    <row r="2" spans="1:3" x14ac:dyDescent="0.3">
      <c r="A2" s="200">
        <f t="array" ref="A2:B31">Aurora_Output!AM3:AN32</f>
        <v>1</v>
      </c>
      <c r="B2" s="201" t="str">
        <v>Reference</v>
      </c>
      <c r="C2" s="187">
        <f t="array" ref="C2:C31">TRANSPOSE(B39:AE39)</f>
        <v>695.07371999999998</v>
      </c>
    </row>
    <row r="3" spans="1:3" x14ac:dyDescent="0.3">
      <c r="A3" s="200">
        <v>2</v>
      </c>
      <c r="B3" s="201" t="str">
        <v>DSM Bundle 10</v>
      </c>
      <c r="C3" s="187">
        <v>922.68937399999993</v>
      </c>
    </row>
    <row r="4" spans="1:3" x14ac:dyDescent="0.3">
      <c r="A4" s="200">
        <v>3</v>
      </c>
      <c r="B4" s="201" t="str">
        <v>DSM Bundle 7</v>
      </c>
      <c r="C4" s="187">
        <v>818.32495699999993</v>
      </c>
    </row>
    <row r="5" spans="1:3" x14ac:dyDescent="0.3">
      <c r="A5" s="200">
        <v>4</v>
      </c>
      <c r="B5" s="201" t="str">
        <v>DER Solar</v>
      </c>
      <c r="C5" s="187">
        <v>695.07371999999998</v>
      </c>
    </row>
    <row r="6" spans="1:3" x14ac:dyDescent="0.3">
      <c r="A6" s="200">
        <v>5</v>
      </c>
      <c r="B6" s="201" t="str">
        <v>DER Batteries</v>
      </c>
      <c r="C6" s="187">
        <v>695.07371999999998</v>
      </c>
    </row>
    <row r="7" spans="1:3" x14ac:dyDescent="0.3">
      <c r="A7" s="200">
        <v>6</v>
      </c>
      <c r="B7" s="201" t="str">
        <v>MT Overbuild, PHES + All East Wind</v>
      </c>
      <c r="C7" s="187">
        <v>695.07371999999998</v>
      </c>
    </row>
    <row r="8" spans="1:3" x14ac:dyDescent="0.3">
      <c r="A8" s="200">
        <v>7</v>
      </c>
      <c r="B8" s="201" t="str">
        <v>MT Overbuild, PHES + East, Central Wind</v>
      </c>
      <c r="C8" s="187">
        <v>695.07371999999998</v>
      </c>
    </row>
    <row r="9" spans="1:3" x14ac:dyDescent="0.3">
      <c r="A9" s="200">
        <v>8</v>
      </c>
      <c r="B9" s="201" t="str">
        <v>PNW PHES</v>
      </c>
      <c r="C9" s="187">
        <v>695.07371999999998</v>
      </c>
    </row>
    <row r="10" spans="1:3" x14ac:dyDescent="0.3">
      <c r="A10" s="17">
        <v>9</v>
      </c>
      <c r="B10" s="11" t="str">
        <v>Nuclear</v>
      </c>
      <c r="C10" s="185">
        <v>695.07371999999998</v>
      </c>
    </row>
    <row r="11" spans="1:3" x14ac:dyDescent="0.3">
      <c r="A11" s="17">
        <v>10</v>
      </c>
      <c r="B11" s="11" t="str">
        <v>Restricted Thermal</v>
      </c>
      <c r="C11" s="185">
        <v>695.07371999999998</v>
      </c>
    </row>
    <row r="12" spans="1:3" x14ac:dyDescent="0.3">
      <c r="A12" s="17" t="str">
        <v>11 A1</v>
      </c>
      <c r="B12" s="11" t="str">
        <v>Least Diversified w/ Nuclear</v>
      </c>
      <c r="C12" s="185">
        <v>818.32495699999993</v>
      </c>
    </row>
    <row r="13" spans="1:3" x14ac:dyDescent="0.3">
      <c r="A13" s="17" t="str">
        <v>11 A2</v>
      </c>
      <c r="B13" s="11" t="str">
        <v>Diversified + PNW PHES</v>
      </c>
      <c r="C13" s="185">
        <v>818.32495699999993</v>
      </c>
    </row>
    <row r="14" spans="1:3" x14ac:dyDescent="0.3">
      <c r="A14" s="17" t="str">
        <v>11 A3</v>
      </c>
      <c r="B14" s="11" t="str">
        <v>Diversified + DER Solar</v>
      </c>
      <c r="C14" s="185">
        <v>818.32495699999993</v>
      </c>
    </row>
    <row r="15" spans="1:3" x14ac:dyDescent="0.3">
      <c r="A15" s="17" t="str">
        <v>11 A4</v>
      </c>
      <c r="B15" s="11" t="str">
        <v>Diversified + DER Batteries</v>
      </c>
      <c r="C15" s="185">
        <v>818.32495699999993</v>
      </c>
    </row>
    <row r="16" spans="1:3" x14ac:dyDescent="0.3">
      <c r="A16" s="17" t="str">
        <v>11 A5</v>
      </c>
      <c r="B16" s="11" t="str">
        <v>Diversified + All DR Programs</v>
      </c>
      <c r="C16" s="185">
        <v>818.32495699999993</v>
      </c>
    </row>
    <row r="17" spans="1:3" x14ac:dyDescent="0.3">
      <c r="A17" s="17" t="str">
        <v>11 B1</v>
      </c>
      <c r="B17" s="11" t="str">
        <v>Least Diversified w/o Nuclear</v>
      </c>
      <c r="C17" s="185">
        <v>818.32495699999993</v>
      </c>
    </row>
    <row r="18" spans="1:3" x14ac:dyDescent="0.3">
      <c r="A18" s="17" t="str">
        <v>11 B2</v>
      </c>
      <c r="B18" s="11" t="str">
        <v>Most Diversified w/o Nuclear</v>
      </c>
      <c r="C18" s="185">
        <v>818.32495699999993</v>
      </c>
    </row>
    <row r="19" spans="1:3" x14ac:dyDescent="0.3">
      <c r="A19" s="17">
        <v>12</v>
      </c>
      <c r="B19" s="11" t="str">
        <v>100% Renewable/Non-Emitting by 2030</v>
      </c>
      <c r="C19" s="185">
        <v>0</v>
      </c>
    </row>
    <row r="20" spans="1:3" x14ac:dyDescent="0.3">
      <c r="A20" s="17">
        <v>13</v>
      </c>
      <c r="B20" s="11" t="str">
        <v>High Carbon Price</v>
      </c>
      <c r="C20" s="185">
        <v>695.07371999999998</v>
      </c>
    </row>
    <row r="21" spans="1:3" x14ac:dyDescent="0.3">
      <c r="A21" s="17">
        <v>14</v>
      </c>
      <c r="B21" s="11" t="str">
        <v>No H2 Fuel</v>
      </c>
      <c r="C21" s="185">
        <v>695.07371999999998</v>
      </c>
    </row>
    <row r="22" spans="1:3" x14ac:dyDescent="0.3">
      <c r="A22" s="17">
        <v>0</v>
      </c>
      <c r="B22" s="11">
        <v>0</v>
      </c>
      <c r="C22" s="185">
        <v>0</v>
      </c>
    </row>
    <row r="23" spans="1:3" x14ac:dyDescent="0.3">
      <c r="A23" s="17">
        <v>0</v>
      </c>
      <c r="B23" s="11">
        <v>0</v>
      </c>
      <c r="C23" s="185">
        <v>0</v>
      </c>
    </row>
    <row r="24" spans="1:3" x14ac:dyDescent="0.3">
      <c r="A24" s="17">
        <v>0</v>
      </c>
      <c r="B24" s="11">
        <v>0</v>
      </c>
      <c r="C24" s="185">
        <v>0</v>
      </c>
    </row>
    <row r="25" spans="1:3" x14ac:dyDescent="0.3">
      <c r="A25" s="17">
        <v>0</v>
      </c>
      <c r="B25" s="11">
        <v>0</v>
      </c>
      <c r="C25" s="185">
        <v>0</v>
      </c>
    </row>
    <row r="26" spans="1:3" x14ac:dyDescent="0.3">
      <c r="A26" s="17">
        <v>0</v>
      </c>
      <c r="B26" s="11">
        <v>0</v>
      </c>
      <c r="C26" s="185">
        <v>0</v>
      </c>
    </row>
    <row r="27" spans="1:3" x14ac:dyDescent="0.3">
      <c r="A27" s="17">
        <v>0</v>
      </c>
      <c r="B27" s="11">
        <v>0</v>
      </c>
      <c r="C27" s="185">
        <v>0</v>
      </c>
    </row>
    <row r="28" spans="1:3" x14ac:dyDescent="0.3">
      <c r="A28" s="17">
        <v>0</v>
      </c>
      <c r="B28" s="11">
        <v>0</v>
      </c>
      <c r="C28" s="185">
        <v>0</v>
      </c>
    </row>
    <row r="29" spans="1:3" x14ac:dyDescent="0.3">
      <c r="A29" s="17">
        <v>0</v>
      </c>
      <c r="B29" s="11">
        <v>0</v>
      </c>
      <c r="C29" s="185">
        <v>0</v>
      </c>
    </row>
    <row r="30" spans="1:3" x14ac:dyDescent="0.3">
      <c r="A30" s="17">
        <v>0</v>
      </c>
      <c r="B30" s="11">
        <v>0</v>
      </c>
      <c r="C30" s="185">
        <v>0</v>
      </c>
    </row>
    <row r="31" spans="1:3" x14ac:dyDescent="0.3">
      <c r="A31" s="181">
        <v>0</v>
      </c>
      <c r="B31" s="183">
        <v>0</v>
      </c>
      <c r="C31" s="186">
        <v>0</v>
      </c>
    </row>
    <row r="32" spans="1:3" x14ac:dyDescent="0.3">
      <c r="B32" s="21"/>
    </row>
    <row r="33" spans="1:31" x14ac:dyDescent="0.3">
      <c r="A33" s="31"/>
      <c r="B33" s="4"/>
    </row>
    <row r="35" spans="1:31" x14ac:dyDescent="0.3">
      <c r="A35" s="32" t="s">
        <v>158</v>
      </c>
      <c r="B35" s="79">
        <f t="array" ref="B35:AE35">Aurora_Output!D3:AK3</f>
        <v>1</v>
      </c>
      <c r="C35" s="79">
        <v>2</v>
      </c>
      <c r="D35" s="79">
        <v>3</v>
      </c>
      <c r="E35" s="79">
        <v>4</v>
      </c>
      <c r="F35" s="79">
        <v>5</v>
      </c>
      <c r="G35" s="79">
        <v>6</v>
      </c>
      <c r="H35" s="79">
        <v>7</v>
      </c>
      <c r="I35" s="79">
        <v>8</v>
      </c>
      <c r="J35" s="79">
        <v>9</v>
      </c>
      <c r="K35" s="79">
        <v>10</v>
      </c>
      <c r="L35" s="79" t="str">
        <v>11 A1</v>
      </c>
      <c r="M35" s="79" t="str">
        <v>11 A2</v>
      </c>
      <c r="N35" s="79" t="str">
        <v>11 A3</v>
      </c>
      <c r="O35" s="79" t="str">
        <v>11 A4</v>
      </c>
      <c r="P35" s="79" t="str">
        <v>11 A5</v>
      </c>
      <c r="Q35" s="79" t="str">
        <v>11 B1</v>
      </c>
      <c r="R35" s="79" t="str">
        <v>11 B2</v>
      </c>
      <c r="S35" s="79">
        <v>12</v>
      </c>
      <c r="T35" s="79">
        <v>13</v>
      </c>
      <c r="U35" s="79">
        <v>14</v>
      </c>
      <c r="V35" s="79">
        <v>0</v>
      </c>
      <c r="W35" s="81">
        <v>0</v>
      </c>
      <c r="X35">
        <v>0</v>
      </c>
      <c r="Y35">
        <v>0</v>
      </c>
      <c r="Z35">
        <v>0</v>
      </c>
      <c r="AA35">
        <v>0</v>
      </c>
      <c r="AB35">
        <v>0</v>
      </c>
      <c r="AC35">
        <v>0</v>
      </c>
      <c r="AD35">
        <v>0</v>
      </c>
      <c r="AE35">
        <v>0</v>
      </c>
    </row>
    <row r="36" spans="1:31" x14ac:dyDescent="0.3">
      <c r="A36" s="254" t="s">
        <v>221</v>
      </c>
      <c r="B36" s="56">
        <f t="array" ref="B36:AE36">Aurora_Output!D50:AK50</f>
        <v>436.93978399999997</v>
      </c>
      <c r="C36" s="56">
        <v>436.93978399999997</v>
      </c>
      <c r="D36" s="56">
        <v>436.93978399999997</v>
      </c>
      <c r="E36" s="56">
        <v>436.93978399999997</v>
      </c>
      <c r="F36" s="56">
        <v>436.93978399999997</v>
      </c>
      <c r="G36" s="56">
        <v>436.93978399999997</v>
      </c>
      <c r="H36" s="56">
        <v>436.93978399999997</v>
      </c>
      <c r="I36" s="56">
        <v>436.93978399999997</v>
      </c>
      <c r="J36" s="56">
        <v>436.93978399999997</v>
      </c>
      <c r="K36" s="56">
        <v>436.93978399999997</v>
      </c>
      <c r="L36" s="56">
        <v>436.93978399999997</v>
      </c>
      <c r="M36" s="56">
        <v>436.93978399999997</v>
      </c>
      <c r="N36" s="56">
        <v>436.93978399999997</v>
      </c>
      <c r="O36" s="56">
        <v>436.93978399999997</v>
      </c>
      <c r="P36" s="56">
        <v>436.93978399999997</v>
      </c>
      <c r="Q36" s="56">
        <v>436.93978399999997</v>
      </c>
      <c r="R36" s="56">
        <v>436.93978399999997</v>
      </c>
      <c r="S36" s="56">
        <v>0</v>
      </c>
      <c r="T36" s="56">
        <v>436.93978399999997</v>
      </c>
      <c r="U36" s="56">
        <v>436.93978399999997</v>
      </c>
      <c r="V36" s="56">
        <v>0</v>
      </c>
      <c r="W36" s="56">
        <v>0</v>
      </c>
      <c r="X36">
        <v>0</v>
      </c>
      <c r="Y36">
        <v>0</v>
      </c>
      <c r="Z36">
        <v>0</v>
      </c>
      <c r="AA36">
        <v>0</v>
      </c>
      <c r="AB36">
        <v>0</v>
      </c>
      <c r="AC36">
        <v>0</v>
      </c>
      <c r="AD36">
        <v>0</v>
      </c>
      <c r="AE36">
        <v>0</v>
      </c>
    </row>
    <row r="37" spans="1:31" x14ac:dyDescent="0.3">
      <c r="A37" s="34" t="s">
        <v>223</v>
      </c>
      <c r="B37" s="56">
        <f t="array" ref="B37:AE37">Aurora_Output!D52:AK52</f>
        <v>258.13393600000001</v>
      </c>
      <c r="C37" s="56">
        <v>475.03166699999997</v>
      </c>
      <c r="D37" s="56">
        <v>370.66724999999997</v>
      </c>
      <c r="E37" s="56">
        <v>258.13393600000001</v>
      </c>
      <c r="F37" s="56">
        <v>258.13393600000001</v>
      </c>
      <c r="G37" s="56">
        <v>258.13393600000001</v>
      </c>
      <c r="H37" s="56">
        <v>258.13393600000001</v>
      </c>
      <c r="I37" s="56">
        <v>258.13393600000001</v>
      </c>
      <c r="J37" s="56">
        <v>258.13393600000001</v>
      </c>
      <c r="K37" s="56">
        <v>258.13393600000001</v>
      </c>
      <c r="L37" s="56">
        <v>370.66724999999997</v>
      </c>
      <c r="M37" s="56">
        <v>370.66724999999997</v>
      </c>
      <c r="N37" s="56">
        <v>370.66724999999997</v>
      </c>
      <c r="O37" s="56">
        <v>370.66724999999997</v>
      </c>
      <c r="P37" s="56">
        <v>370.66724999999997</v>
      </c>
      <c r="Q37" s="56">
        <v>370.66724999999997</v>
      </c>
      <c r="R37" s="56">
        <v>370.66724999999997</v>
      </c>
      <c r="S37" s="56">
        <v>0</v>
      </c>
      <c r="T37" s="56">
        <v>258.13393600000001</v>
      </c>
      <c r="U37" s="56">
        <v>258.13393600000001</v>
      </c>
      <c r="V37" s="56">
        <v>0</v>
      </c>
      <c r="W37" s="56">
        <v>0</v>
      </c>
      <c r="X37">
        <v>0</v>
      </c>
      <c r="Y37">
        <v>0</v>
      </c>
      <c r="Z37">
        <v>0</v>
      </c>
      <c r="AA37">
        <v>0</v>
      </c>
      <c r="AB37">
        <v>0</v>
      </c>
      <c r="AC37">
        <v>0</v>
      </c>
      <c r="AD37">
        <v>0</v>
      </c>
      <c r="AE37">
        <v>0</v>
      </c>
    </row>
    <row r="38" spans="1:31" x14ac:dyDescent="0.3">
      <c r="A38" s="253" t="s">
        <v>220</v>
      </c>
      <c r="B38" s="56">
        <f t="array" ref="B38:AE38">Aurora_Output!D49:AK49</f>
        <v>0</v>
      </c>
      <c r="C38" s="56">
        <v>10.717923000000001</v>
      </c>
      <c r="D38" s="56">
        <v>10.717923000000001</v>
      </c>
      <c r="E38" s="56">
        <v>0</v>
      </c>
      <c r="F38" s="56">
        <v>0</v>
      </c>
      <c r="G38" s="56">
        <v>0</v>
      </c>
      <c r="H38" s="56">
        <v>0</v>
      </c>
      <c r="I38" s="56">
        <v>0</v>
      </c>
      <c r="J38" s="56">
        <v>0</v>
      </c>
      <c r="K38" s="56">
        <v>0</v>
      </c>
      <c r="L38" s="56">
        <v>10.717923000000001</v>
      </c>
      <c r="M38" s="56">
        <v>10.717923000000001</v>
      </c>
      <c r="N38" s="56">
        <v>10.717923000000001</v>
      </c>
      <c r="O38" s="56">
        <v>10.717923000000001</v>
      </c>
      <c r="P38" s="56">
        <v>10.717923000000001</v>
      </c>
      <c r="Q38" s="56">
        <v>10.717923000000001</v>
      </c>
      <c r="R38" s="56">
        <v>10.717923000000001</v>
      </c>
      <c r="S38" s="56">
        <v>0</v>
      </c>
      <c r="T38" s="56">
        <v>0</v>
      </c>
      <c r="U38" s="56">
        <v>0</v>
      </c>
      <c r="V38" s="56">
        <v>0</v>
      </c>
      <c r="W38" s="56">
        <v>0</v>
      </c>
      <c r="X38">
        <v>0</v>
      </c>
      <c r="Y38">
        <v>0</v>
      </c>
      <c r="Z38">
        <v>0</v>
      </c>
      <c r="AA38">
        <v>0</v>
      </c>
      <c r="AB38">
        <v>0</v>
      </c>
      <c r="AC38">
        <v>0</v>
      </c>
      <c r="AD38">
        <v>0</v>
      </c>
      <c r="AE38">
        <v>0</v>
      </c>
    </row>
    <row r="39" spans="1:31" x14ac:dyDescent="0.3">
      <c r="A39" s="36" t="s">
        <v>30</v>
      </c>
      <c r="B39" s="101">
        <f>SUM(B36:B38)</f>
        <v>695.07371999999998</v>
      </c>
      <c r="C39" s="101">
        <f t="shared" ref="C39:W39" si="0">SUM(C36:C38)</f>
        <v>922.68937399999993</v>
      </c>
      <c r="D39" s="101">
        <f t="shared" si="0"/>
        <v>818.32495699999993</v>
      </c>
      <c r="E39" s="101">
        <f t="shared" si="0"/>
        <v>695.07371999999998</v>
      </c>
      <c r="F39" s="101">
        <f t="shared" si="0"/>
        <v>695.07371999999998</v>
      </c>
      <c r="G39" s="101">
        <f t="shared" si="0"/>
        <v>695.07371999999998</v>
      </c>
      <c r="H39" s="101">
        <f t="shared" si="0"/>
        <v>695.07371999999998</v>
      </c>
      <c r="I39" s="101">
        <f t="shared" si="0"/>
        <v>695.07371999999998</v>
      </c>
      <c r="J39" s="101">
        <f t="shared" si="0"/>
        <v>695.07371999999998</v>
      </c>
      <c r="K39" s="101">
        <f t="shared" si="0"/>
        <v>695.07371999999998</v>
      </c>
      <c r="L39" s="101">
        <f t="shared" si="0"/>
        <v>818.32495699999993</v>
      </c>
      <c r="M39" s="101">
        <f t="shared" si="0"/>
        <v>818.32495699999993</v>
      </c>
      <c r="N39" s="101">
        <f t="shared" si="0"/>
        <v>818.32495699999993</v>
      </c>
      <c r="O39" s="101">
        <f t="shared" si="0"/>
        <v>818.32495699999993</v>
      </c>
      <c r="P39" s="101">
        <f t="shared" si="0"/>
        <v>818.32495699999993</v>
      </c>
      <c r="Q39" s="101">
        <f t="shared" si="0"/>
        <v>818.32495699999993</v>
      </c>
      <c r="R39" s="101">
        <f t="shared" si="0"/>
        <v>818.32495699999993</v>
      </c>
      <c r="S39" s="101">
        <f t="shared" si="0"/>
        <v>0</v>
      </c>
      <c r="T39" s="101">
        <f t="shared" si="0"/>
        <v>695.07371999999998</v>
      </c>
      <c r="U39" s="101">
        <f>SUM(U36:U38)</f>
        <v>695.07371999999998</v>
      </c>
      <c r="V39" s="101">
        <f t="shared" si="0"/>
        <v>0</v>
      </c>
      <c r="W39" s="101">
        <f t="shared" si="0"/>
        <v>0</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L60"/>
  <sheetViews>
    <sheetView topLeftCell="A34" workbookViewId="0">
      <selection activeCell="G39" sqref="G39"/>
    </sheetView>
  </sheetViews>
  <sheetFormatPr defaultRowHeight="14.4" x14ac:dyDescent="0.3"/>
  <cols>
    <col min="1" max="1" width="39.5546875" customWidth="1"/>
    <col min="2" max="2" width="49.5546875" customWidth="1"/>
    <col min="3" max="7" width="15.5546875" customWidth="1"/>
    <col min="8" max="8" width="15.5546875" style="6" customWidth="1"/>
    <col min="9" max="9" width="15.5546875" style="7" customWidth="1"/>
    <col min="10" max="10" width="9.88671875" customWidth="1"/>
    <col min="11" max="12" width="9.5546875" bestFit="1" customWidth="1"/>
    <col min="13" max="26" width="9.6640625" customWidth="1"/>
  </cols>
  <sheetData>
    <row r="1" spans="1:3" ht="57.6" x14ac:dyDescent="0.3">
      <c r="A1" s="14" t="s">
        <v>280</v>
      </c>
      <c r="B1" s="15" t="s">
        <v>281</v>
      </c>
      <c r="C1" s="16" t="s">
        <v>282</v>
      </c>
    </row>
    <row r="2" spans="1:3" x14ac:dyDescent="0.3">
      <c r="A2" s="17">
        <f t="array" ref="A2:A31">Aurora_Output!AM3:AM32</f>
        <v>1</v>
      </c>
      <c r="B2" s="170" t="str">
        <f t="array" ref="B2:B31">Aurora_Output!AN3:AN32</f>
        <v>Reference</v>
      </c>
      <c r="C2" s="70">
        <f t="array" ref="C2:C23">TRANSPOSE(H54:AC54)</f>
        <v>513238.44362529379</v>
      </c>
    </row>
    <row r="3" spans="1:3" x14ac:dyDescent="0.3">
      <c r="A3" s="17">
        <v>2</v>
      </c>
      <c r="B3" s="170" t="str">
        <v>DSM Bundle 10</v>
      </c>
      <c r="C3" s="70">
        <v>388130.08449216688</v>
      </c>
    </row>
    <row r="4" spans="1:3" x14ac:dyDescent="0.3">
      <c r="A4" s="17">
        <v>3</v>
      </c>
      <c r="B4" s="170" t="str">
        <v>DSM Bundle 7</v>
      </c>
      <c r="C4" s="70">
        <v>625835.0025249538</v>
      </c>
    </row>
    <row r="5" spans="1:3" x14ac:dyDescent="0.3">
      <c r="A5" s="17">
        <v>4</v>
      </c>
      <c r="B5" s="170" t="str">
        <v>DER Solar</v>
      </c>
      <c r="C5" s="70">
        <v>389709.03186058794</v>
      </c>
    </row>
    <row r="6" spans="1:3" x14ac:dyDescent="0.3">
      <c r="A6" s="17">
        <v>5</v>
      </c>
      <c r="B6" s="170" t="str">
        <v>DER Batteries</v>
      </c>
      <c r="C6" s="70">
        <v>388130.08449216688</v>
      </c>
    </row>
    <row r="7" spans="1:3" x14ac:dyDescent="0.3">
      <c r="A7" s="17">
        <v>6</v>
      </c>
      <c r="B7" s="170" t="str">
        <v>MT Overbuild, PHES + All East Wind</v>
      </c>
      <c r="C7" s="70">
        <v>388130.08449216688</v>
      </c>
    </row>
    <row r="8" spans="1:3" x14ac:dyDescent="0.3">
      <c r="A8" s="17">
        <v>7</v>
      </c>
      <c r="B8" s="170" t="str">
        <v>MT Overbuild, PHES + East, Central Wind</v>
      </c>
      <c r="C8" s="70">
        <v>388130.08449216688</v>
      </c>
    </row>
    <row r="9" spans="1:3" x14ac:dyDescent="0.3">
      <c r="A9" s="17">
        <v>8</v>
      </c>
      <c r="B9" s="170" t="str">
        <v>PNW PHES</v>
      </c>
      <c r="C9" s="70">
        <v>389709.03186058794</v>
      </c>
    </row>
    <row r="10" spans="1:3" x14ac:dyDescent="0.3">
      <c r="A10" s="17">
        <v>9</v>
      </c>
      <c r="B10" s="170" t="str">
        <v>Nuclear</v>
      </c>
      <c r="C10" s="70">
        <v>388130.08449216688</v>
      </c>
    </row>
    <row r="11" spans="1:3" x14ac:dyDescent="0.3">
      <c r="A11" s="17">
        <v>10</v>
      </c>
      <c r="B11" s="170" t="str">
        <v>Restricted Thermal</v>
      </c>
      <c r="C11" s="70">
        <v>388130.08449216688</v>
      </c>
    </row>
    <row r="12" spans="1:3" x14ac:dyDescent="0.3">
      <c r="A12" s="17" t="str">
        <v>11 A1</v>
      </c>
      <c r="B12" s="170" t="str">
        <v>Least Diversified w/ Nuclear</v>
      </c>
      <c r="C12" s="70">
        <v>625835.0025249538</v>
      </c>
    </row>
    <row r="13" spans="1:3" x14ac:dyDescent="0.3">
      <c r="A13" s="17" t="str">
        <v>11 A2</v>
      </c>
      <c r="B13" s="170" t="str">
        <v>Diversified + PNW PHES</v>
      </c>
      <c r="C13" s="70">
        <v>389709.03186058794</v>
      </c>
    </row>
    <row r="14" spans="1:3" x14ac:dyDescent="0.3">
      <c r="A14" s="17" t="str">
        <v>11 A3</v>
      </c>
      <c r="B14" s="170" t="str">
        <v>Diversified + DER Solar</v>
      </c>
      <c r="C14" s="70">
        <v>627413.94989337481</v>
      </c>
    </row>
    <row r="15" spans="1:3" x14ac:dyDescent="0.3">
      <c r="A15" s="17" t="str">
        <v>11 A4</v>
      </c>
      <c r="B15" s="170" t="str">
        <v>Diversified + DER Batteries</v>
      </c>
      <c r="C15" s="70">
        <v>388130.08449216688</v>
      </c>
    </row>
    <row r="16" spans="1:3" x14ac:dyDescent="0.3">
      <c r="A16" s="17" t="str">
        <v>11 A5</v>
      </c>
      <c r="B16" s="170" t="str">
        <v>Diversified + All DR Programs</v>
      </c>
      <c r="C16" s="70">
        <v>750943.36165808071</v>
      </c>
    </row>
    <row r="17" spans="1:3" x14ac:dyDescent="0.3">
      <c r="A17" s="17" t="str">
        <v>11 B1</v>
      </c>
      <c r="B17" s="170" t="str">
        <v>Least Diversified w/o Nuclear</v>
      </c>
      <c r="C17" s="70">
        <v>388130.08449216688</v>
      </c>
    </row>
    <row r="18" spans="1:3" x14ac:dyDescent="0.3">
      <c r="A18" s="17" t="str">
        <v>11 B2</v>
      </c>
      <c r="B18" s="170" t="str">
        <v>Most Diversified w/o Nuclear</v>
      </c>
      <c r="C18" s="70">
        <v>750943.36165808071</v>
      </c>
    </row>
    <row r="19" spans="1:3" x14ac:dyDescent="0.3">
      <c r="A19" s="17">
        <v>12</v>
      </c>
      <c r="B19" s="170" t="str">
        <v>100% Renewable/Non-Emitting by 2030</v>
      </c>
      <c r="C19" s="70">
        <v>0</v>
      </c>
    </row>
    <row r="20" spans="1:3" x14ac:dyDescent="0.3">
      <c r="A20" s="17">
        <v>13</v>
      </c>
      <c r="B20" s="170" t="str">
        <v>High Carbon Price</v>
      </c>
      <c r="C20" s="70">
        <v>389709.03186058794</v>
      </c>
    </row>
    <row r="21" spans="1:3" x14ac:dyDescent="0.3">
      <c r="A21" s="17">
        <v>14</v>
      </c>
      <c r="B21" s="170" t="str">
        <v>No H2 Fuel</v>
      </c>
      <c r="C21" s="57">
        <v>388130.08449216688</v>
      </c>
    </row>
    <row r="22" spans="1:3" x14ac:dyDescent="0.3">
      <c r="A22" s="17">
        <v>0</v>
      </c>
      <c r="B22" s="170">
        <v>0</v>
      </c>
      <c r="C22" s="163">
        <v>0</v>
      </c>
    </row>
    <row r="23" spans="1:3" x14ac:dyDescent="0.3">
      <c r="A23" s="17">
        <v>0</v>
      </c>
      <c r="B23" s="170">
        <v>0</v>
      </c>
      <c r="C23" s="163">
        <v>0</v>
      </c>
    </row>
    <row r="24" spans="1:3" x14ac:dyDescent="0.3">
      <c r="A24" s="23">
        <v>0</v>
      </c>
      <c r="B24" s="11">
        <v>0</v>
      </c>
      <c r="C24" s="163"/>
    </row>
    <row r="25" spans="1:3" x14ac:dyDescent="0.3">
      <c r="A25" s="23">
        <v>0</v>
      </c>
      <c r="B25" s="11">
        <v>0</v>
      </c>
      <c r="C25" s="163"/>
    </row>
    <row r="26" spans="1:3" x14ac:dyDescent="0.3">
      <c r="A26" s="23">
        <v>0</v>
      </c>
      <c r="B26" s="11">
        <v>0</v>
      </c>
      <c r="C26" s="163"/>
    </row>
    <row r="27" spans="1:3" x14ac:dyDescent="0.3">
      <c r="A27" s="23">
        <v>0</v>
      </c>
      <c r="B27" s="11">
        <v>0</v>
      </c>
      <c r="C27" s="163"/>
    </row>
    <row r="28" spans="1:3" x14ac:dyDescent="0.3">
      <c r="A28" s="23">
        <v>0</v>
      </c>
      <c r="B28" s="11">
        <v>0</v>
      </c>
      <c r="C28" s="163"/>
    </row>
    <row r="29" spans="1:3" x14ac:dyDescent="0.3">
      <c r="A29" s="23">
        <v>0</v>
      </c>
      <c r="B29" s="11">
        <v>0</v>
      </c>
      <c r="C29" s="163"/>
    </row>
    <row r="30" spans="1:3" x14ac:dyDescent="0.3">
      <c r="A30" s="23">
        <v>0</v>
      </c>
      <c r="B30" s="11">
        <v>0</v>
      </c>
      <c r="C30" s="163"/>
    </row>
    <row r="31" spans="1:3" x14ac:dyDescent="0.3">
      <c r="A31" s="23">
        <v>0</v>
      </c>
      <c r="B31" s="11">
        <v>0</v>
      </c>
      <c r="C31" s="163"/>
    </row>
    <row r="32" spans="1:3" x14ac:dyDescent="0.3">
      <c r="A32" s="23"/>
      <c r="C32" s="163"/>
    </row>
    <row r="34" spans="1:38" ht="17.399999999999999" x14ac:dyDescent="0.35">
      <c r="A34" s="221" t="s">
        <v>283</v>
      </c>
      <c r="B34" s="63"/>
    </row>
    <row r="35" spans="1:38" x14ac:dyDescent="0.3">
      <c r="A35" s="62" t="s">
        <v>284</v>
      </c>
    </row>
    <row r="36" spans="1:38" ht="16.2" x14ac:dyDescent="0.3">
      <c r="A36" s="5">
        <v>1000</v>
      </c>
      <c r="H36"/>
      <c r="J36" s="4" t="s">
        <v>285</v>
      </c>
    </row>
    <row r="37" spans="1:38" ht="57.6" x14ac:dyDescent="0.3">
      <c r="A37" s="58" t="s">
        <v>286</v>
      </c>
      <c r="B37" s="58" t="s">
        <v>287</v>
      </c>
      <c r="C37" s="58" t="s">
        <v>288</v>
      </c>
      <c r="D37" s="58" t="s">
        <v>289</v>
      </c>
      <c r="E37" s="58" t="s">
        <v>290</v>
      </c>
      <c r="F37" s="58" t="s">
        <v>291</v>
      </c>
      <c r="G37" s="59" t="s">
        <v>292</v>
      </c>
      <c r="H37" s="37">
        <f t="array" ref="H37:AL37">Aurora_Output!D3:AK3</f>
        <v>1</v>
      </c>
      <c r="I37" s="33">
        <v>2</v>
      </c>
      <c r="J37" s="33">
        <v>3</v>
      </c>
      <c r="K37" s="33">
        <v>4</v>
      </c>
      <c r="L37" s="33">
        <v>5</v>
      </c>
      <c r="M37" s="33">
        <v>6</v>
      </c>
      <c r="N37" s="33">
        <v>7</v>
      </c>
      <c r="O37" s="33">
        <v>8</v>
      </c>
      <c r="P37" s="33">
        <v>9</v>
      </c>
      <c r="Q37" s="33">
        <v>10</v>
      </c>
      <c r="R37" s="33" t="str">
        <v>11 A1</v>
      </c>
      <c r="S37" s="33" t="str">
        <v>11 A2</v>
      </c>
      <c r="T37" s="33" t="str">
        <v>11 A3</v>
      </c>
      <c r="U37" s="33" t="str">
        <v>11 A4</v>
      </c>
      <c r="V37" s="33" t="str">
        <v>11 A5</v>
      </c>
      <c r="W37" s="33" t="str">
        <v>11 B1</v>
      </c>
      <c r="X37" s="33" t="str">
        <v>11 B2</v>
      </c>
      <c r="Y37" s="33">
        <v>12</v>
      </c>
      <c r="Z37" s="33">
        <v>13</v>
      </c>
      <c r="AA37" s="33">
        <v>14</v>
      </c>
      <c r="AB37" s="33">
        <v>0</v>
      </c>
      <c r="AC37" s="33">
        <v>0</v>
      </c>
      <c r="AD37" s="33">
        <v>0</v>
      </c>
      <c r="AE37" s="33">
        <v>0</v>
      </c>
      <c r="AF37" s="33">
        <v>0</v>
      </c>
      <c r="AG37" s="33">
        <v>0</v>
      </c>
      <c r="AH37" s="33">
        <v>0</v>
      </c>
      <c r="AI37" s="33">
        <v>0</v>
      </c>
      <c r="AJ37" s="33">
        <v>0</v>
      </c>
      <c r="AK37" s="33">
        <v>0</v>
      </c>
      <c r="AL37" s="33">
        <v>0</v>
      </c>
    </row>
    <row r="38" spans="1:38" x14ac:dyDescent="0.3">
      <c r="A38" s="38" t="s">
        <v>293</v>
      </c>
      <c r="B38" s="87" t="s">
        <v>227</v>
      </c>
      <c r="C38" s="87">
        <v>0</v>
      </c>
      <c r="D38" s="217">
        <v>0.75</v>
      </c>
      <c r="E38" s="214" t="s">
        <v>154</v>
      </c>
      <c r="F38" s="214" t="s">
        <v>154</v>
      </c>
      <c r="G38" s="215">
        <f>(C38*A$36)/D38</f>
        <v>0</v>
      </c>
      <c r="H38" s="224">
        <f>Aurora_Output!D55</f>
        <v>1</v>
      </c>
      <c r="I38" s="225">
        <f>Aurora_Output!E55</f>
        <v>1</v>
      </c>
      <c r="J38" s="225">
        <f>Aurora_Output!F55</f>
        <v>1</v>
      </c>
      <c r="K38" s="225">
        <f>Aurora_Output!G55</f>
        <v>1</v>
      </c>
      <c r="L38" s="225">
        <f>Aurora_Output!H55</f>
        <v>1</v>
      </c>
      <c r="M38" s="225">
        <f>Aurora_Output!I55</f>
        <v>1</v>
      </c>
      <c r="N38" s="225">
        <f>Aurora_Output!J55</f>
        <v>1</v>
      </c>
      <c r="O38" s="225">
        <f>Aurora_Output!K55</f>
        <v>1</v>
      </c>
      <c r="P38" s="225">
        <f>Aurora_Output!L55</f>
        <v>1</v>
      </c>
      <c r="Q38" s="225">
        <f>Aurora_Output!M55</f>
        <v>1</v>
      </c>
      <c r="R38" s="225">
        <f>Aurora_Output!N55</f>
        <v>1</v>
      </c>
      <c r="S38" s="225">
        <f>Aurora_Output!O55</f>
        <v>1</v>
      </c>
      <c r="T38" s="225">
        <f>Aurora_Output!P55</f>
        <v>1</v>
      </c>
      <c r="U38" s="225">
        <f>Aurora_Output!Q55</f>
        <v>1</v>
      </c>
      <c r="V38" s="225">
        <f>Aurora_Output!R55</f>
        <v>1</v>
      </c>
      <c r="W38" s="225">
        <f>Aurora_Output!S55</f>
        <v>1</v>
      </c>
      <c r="X38" s="225">
        <f>Aurora_Output!T55</f>
        <v>1</v>
      </c>
      <c r="Y38" s="225">
        <f>Aurora_Output!U55</f>
        <v>0</v>
      </c>
      <c r="Z38" s="225">
        <f>Aurora_Output!V55</f>
        <v>1</v>
      </c>
      <c r="AA38" s="225">
        <f>Aurora_Output!W55</f>
        <v>1</v>
      </c>
      <c r="AB38">
        <f>Aurora_Output!AA55</f>
        <v>0</v>
      </c>
      <c r="AC38">
        <f>Aurora_Output!AB55</f>
        <v>0</v>
      </c>
      <c r="AD38">
        <f>Aurora_Output!AC55</f>
        <v>0</v>
      </c>
      <c r="AE38">
        <f>Aurora_Output!AD55</f>
        <v>0</v>
      </c>
      <c r="AF38">
        <f>Aurora_Output!AE55</f>
        <v>0</v>
      </c>
      <c r="AG38">
        <f>Aurora_Output!AF55</f>
        <v>0</v>
      </c>
      <c r="AH38">
        <f>Aurora_Output!AG55</f>
        <v>0</v>
      </c>
      <c r="AI38">
        <f>Aurora_Output!AH55</f>
        <v>0</v>
      </c>
      <c r="AJ38">
        <f>Aurora_Output!AI55</f>
        <v>0</v>
      </c>
      <c r="AK38">
        <f>Aurora_Output!AJ55</f>
        <v>0</v>
      </c>
      <c r="AL38">
        <f>Aurora_Output!AK55</f>
        <v>0</v>
      </c>
    </row>
    <row r="39" spans="1:38" x14ac:dyDescent="0.3">
      <c r="A39" s="38" t="s">
        <v>293</v>
      </c>
      <c r="B39" s="87" t="s">
        <v>229</v>
      </c>
      <c r="C39" s="87">
        <v>32</v>
      </c>
      <c r="D39" s="217">
        <v>0.75</v>
      </c>
      <c r="E39" s="214" t="s">
        <v>154</v>
      </c>
      <c r="F39" s="214" t="s">
        <v>154</v>
      </c>
      <c r="G39" s="213">
        <f t="shared" ref="G39:G47" si="0">(C39*A$36)/D39</f>
        <v>42666.666666666664</v>
      </c>
      <c r="H39" s="224">
        <f>Aurora_Output!D56</f>
        <v>1</v>
      </c>
      <c r="I39" s="225">
        <f>Aurora_Output!E56</f>
        <v>1</v>
      </c>
      <c r="J39" s="225">
        <f>Aurora_Output!F56</f>
        <v>1</v>
      </c>
      <c r="K39" s="225">
        <f>Aurora_Output!G56</f>
        <v>1</v>
      </c>
      <c r="L39" s="225">
        <f>Aurora_Output!H56</f>
        <v>1</v>
      </c>
      <c r="M39" s="225">
        <f>Aurora_Output!I56</f>
        <v>1</v>
      </c>
      <c r="N39" s="225">
        <f>Aurora_Output!J56</f>
        <v>1</v>
      </c>
      <c r="O39" s="225">
        <f>Aurora_Output!K56</f>
        <v>1</v>
      </c>
      <c r="P39" s="225">
        <f>Aurora_Output!L56</f>
        <v>1</v>
      </c>
      <c r="Q39" s="225">
        <f>Aurora_Output!M56</f>
        <v>1</v>
      </c>
      <c r="R39" s="225">
        <f>Aurora_Output!N56</f>
        <v>1</v>
      </c>
      <c r="S39" s="225">
        <f>Aurora_Output!O56</f>
        <v>1</v>
      </c>
      <c r="T39" s="225">
        <f>Aurora_Output!P56</f>
        <v>1</v>
      </c>
      <c r="U39" s="225">
        <f>Aurora_Output!Q56</f>
        <v>1</v>
      </c>
      <c r="V39" s="225">
        <f>Aurora_Output!R56</f>
        <v>1</v>
      </c>
      <c r="W39" s="225">
        <f>Aurora_Output!S56</f>
        <v>1</v>
      </c>
      <c r="X39" s="225">
        <f>Aurora_Output!T56</f>
        <v>1</v>
      </c>
      <c r="Y39" s="225">
        <f>Aurora_Output!U56</f>
        <v>0</v>
      </c>
      <c r="Z39" s="225">
        <f>Aurora_Output!V56</f>
        <v>1</v>
      </c>
      <c r="AA39" s="225">
        <f>Aurora_Output!W56</f>
        <v>1</v>
      </c>
      <c r="AB39">
        <f>Aurora_Output!AA56</f>
        <v>0</v>
      </c>
      <c r="AC39">
        <f>Aurora_Output!AB56</f>
        <v>0</v>
      </c>
      <c r="AD39">
        <f>Aurora_Output!AC56</f>
        <v>0</v>
      </c>
      <c r="AE39">
        <f>Aurora_Output!AD56</f>
        <v>0</v>
      </c>
      <c r="AF39">
        <f>Aurora_Output!AE56</f>
        <v>0</v>
      </c>
      <c r="AG39">
        <f>Aurora_Output!AF56</f>
        <v>0</v>
      </c>
      <c r="AH39">
        <f>Aurora_Output!AG56</f>
        <v>0</v>
      </c>
      <c r="AI39">
        <f>Aurora_Output!AH56</f>
        <v>0</v>
      </c>
      <c r="AJ39">
        <f>Aurora_Output!AI56</f>
        <v>0</v>
      </c>
      <c r="AK39">
        <f>Aurora_Output!AJ56</f>
        <v>0</v>
      </c>
      <c r="AL39">
        <f>Aurora_Output!AK56</f>
        <v>0</v>
      </c>
    </row>
    <row r="40" spans="1:38" x14ac:dyDescent="0.3">
      <c r="A40" s="35" t="s">
        <v>293</v>
      </c>
      <c r="B40" s="60" t="s">
        <v>231</v>
      </c>
      <c r="C40" s="60">
        <v>0</v>
      </c>
      <c r="D40" s="218">
        <v>0.24399999999999999</v>
      </c>
      <c r="E40" s="214" t="s">
        <v>154</v>
      </c>
      <c r="F40" s="214" t="s">
        <v>154</v>
      </c>
      <c r="G40" s="213">
        <f t="shared" si="0"/>
        <v>0</v>
      </c>
      <c r="H40" s="224">
        <f>Aurora_Output!D57</f>
        <v>0</v>
      </c>
      <c r="I40" s="225">
        <f>Aurora_Output!E57</f>
        <v>0</v>
      </c>
      <c r="J40" s="225">
        <f>Aurora_Output!F57</f>
        <v>0</v>
      </c>
      <c r="K40" s="225">
        <f>Aurora_Output!G57</f>
        <v>0</v>
      </c>
      <c r="L40" s="225">
        <f>Aurora_Output!H57</f>
        <v>0</v>
      </c>
      <c r="M40" s="225">
        <f>Aurora_Output!I57</f>
        <v>0</v>
      </c>
      <c r="N40" s="225">
        <f>Aurora_Output!J57</f>
        <v>0</v>
      </c>
      <c r="O40" s="225">
        <f>Aurora_Output!K57</f>
        <v>0</v>
      </c>
      <c r="P40" s="225">
        <f>Aurora_Output!L57</f>
        <v>0</v>
      </c>
      <c r="Q40" s="225">
        <f>Aurora_Output!M57</f>
        <v>0</v>
      </c>
      <c r="R40" s="225">
        <f>Aurora_Output!N57</f>
        <v>0</v>
      </c>
      <c r="S40" s="225">
        <f>Aurora_Output!O57</f>
        <v>0</v>
      </c>
      <c r="T40" s="225">
        <f>Aurora_Output!P57</f>
        <v>0</v>
      </c>
      <c r="U40" s="225">
        <f>Aurora_Output!Q57</f>
        <v>0</v>
      </c>
      <c r="V40" s="225">
        <f>Aurora_Output!R57</f>
        <v>1</v>
      </c>
      <c r="W40" s="225">
        <f>Aurora_Output!S57</f>
        <v>0</v>
      </c>
      <c r="X40" s="225">
        <f>Aurora_Output!T57</f>
        <v>1</v>
      </c>
      <c r="Y40" s="225">
        <f>Aurora_Output!U57</f>
        <v>0</v>
      </c>
      <c r="Z40" s="225">
        <f>Aurora_Output!V57</f>
        <v>0</v>
      </c>
      <c r="AA40" s="225">
        <f>Aurora_Output!W57</f>
        <v>0</v>
      </c>
      <c r="AB40">
        <f>Aurora_Output!AA57</f>
        <v>0</v>
      </c>
      <c r="AC40">
        <f>Aurora_Output!AB57</f>
        <v>0</v>
      </c>
      <c r="AD40">
        <f>Aurora_Output!AC57</f>
        <v>0</v>
      </c>
      <c r="AE40">
        <f>Aurora_Output!AD57</f>
        <v>0</v>
      </c>
      <c r="AF40">
        <f>Aurora_Output!AE57</f>
        <v>0</v>
      </c>
      <c r="AG40">
        <f>Aurora_Output!AF57</f>
        <v>0</v>
      </c>
      <c r="AH40">
        <f>Aurora_Output!AG57</f>
        <v>0</v>
      </c>
      <c r="AI40">
        <f>Aurora_Output!AH57</f>
        <v>0</v>
      </c>
      <c r="AJ40">
        <f>Aurora_Output!AI57</f>
        <v>0</v>
      </c>
      <c r="AK40">
        <f>Aurora_Output!AJ57</f>
        <v>0</v>
      </c>
      <c r="AL40">
        <f>Aurora_Output!AK57</f>
        <v>0</v>
      </c>
    </row>
    <row r="41" spans="1:38" x14ac:dyDescent="0.3">
      <c r="A41" s="35" t="s">
        <v>293</v>
      </c>
      <c r="B41" s="60" t="s">
        <v>233</v>
      </c>
      <c r="C41" s="60">
        <v>58</v>
      </c>
      <c r="D41" s="218">
        <v>0.24399999999999999</v>
      </c>
      <c r="E41" s="214" t="s">
        <v>154</v>
      </c>
      <c r="F41" s="214" t="s">
        <v>154</v>
      </c>
      <c r="G41" s="213">
        <f t="shared" si="0"/>
        <v>237704.9180327869</v>
      </c>
      <c r="H41" s="224">
        <f>Aurora_Output!D58</f>
        <v>0</v>
      </c>
      <c r="I41" s="225">
        <f>Aurora_Output!E58</f>
        <v>0</v>
      </c>
      <c r="J41" s="225">
        <f>Aurora_Output!F58</f>
        <v>1</v>
      </c>
      <c r="K41" s="225">
        <f>Aurora_Output!G58</f>
        <v>0</v>
      </c>
      <c r="L41" s="225">
        <f>Aurora_Output!H58</f>
        <v>0</v>
      </c>
      <c r="M41" s="225">
        <f>Aurora_Output!I58</f>
        <v>0</v>
      </c>
      <c r="N41" s="225">
        <f>Aurora_Output!J58</f>
        <v>0</v>
      </c>
      <c r="O41" s="225">
        <f>Aurora_Output!K58</f>
        <v>0</v>
      </c>
      <c r="P41" s="225">
        <f>Aurora_Output!L58</f>
        <v>0</v>
      </c>
      <c r="Q41" s="225">
        <f>Aurora_Output!M58</f>
        <v>0</v>
      </c>
      <c r="R41" s="225">
        <f>Aurora_Output!N58</f>
        <v>1</v>
      </c>
      <c r="S41" s="225">
        <f>Aurora_Output!O58</f>
        <v>0</v>
      </c>
      <c r="T41" s="225">
        <f>Aurora_Output!P58</f>
        <v>1</v>
      </c>
      <c r="U41" s="225">
        <f>Aurora_Output!Q58</f>
        <v>0</v>
      </c>
      <c r="V41" s="225">
        <f>Aurora_Output!R58</f>
        <v>1</v>
      </c>
      <c r="W41" s="225">
        <f>Aurora_Output!S58</f>
        <v>0</v>
      </c>
      <c r="X41" s="225">
        <f>Aurora_Output!T58</f>
        <v>1</v>
      </c>
      <c r="Y41" s="225">
        <f>Aurora_Output!U58</f>
        <v>0</v>
      </c>
      <c r="Z41" s="225">
        <f>Aurora_Output!V58</f>
        <v>0</v>
      </c>
      <c r="AA41" s="225">
        <f>Aurora_Output!W58</f>
        <v>0</v>
      </c>
      <c r="AB41">
        <f>Aurora_Output!AA58</f>
        <v>0</v>
      </c>
      <c r="AC41">
        <f>Aurora_Output!AB58</f>
        <v>0</v>
      </c>
      <c r="AD41">
        <f>Aurora_Output!AC58</f>
        <v>0</v>
      </c>
      <c r="AE41">
        <f>Aurora_Output!AD58</f>
        <v>0</v>
      </c>
      <c r="AF41">
        <f>Aurora_Output!AE58</f>
        <v>0</v>
      </c>
      <c r="AG41">
        <f>Aurora_Output!AF58</f>
        <v>0</v>
      </c>
      <c r="AH41">
        <f>Aurora_Output!AG58</f>
        <v>0</v>
      </c>
      <c r="AI41">
        <f>Aurora_Output!AH58</f>
        <v>0</v>
      </c>
      <c r="AJ41">
        <f>Aurora_Output!AI58</f>
        <v>0</v>
      </c>
      <c r="AK41">
        <f>Aurora_Output!AJ58</f>
        <v>0</v>
      </c>
      <c r="AL41">
        <f>Aurora_Output!AK58</f>
        <v>0</v>
      </c>
    </row>
    <row r="42" spans="1:38" x14ac:dyDescent="0.3">
      <c r="A42" s="35" t="s">
        <v>294</v>
      </c>
      <c r="B42" s="61" t="s">
        <v>235</v>
      </c>
      <c r="C42" s="61">
        <v>18</v>
      </c>
      <c r="D42" s="219">
        <v>9.1999999999999993</v>
      </c>
      <c r="E42" s="214" t="s">
        <v>154</v>
      </c>
      <c r="F42" s="214" t="s">
        <v>154</v>
      </c>
      <c r="G42" s="213">
        <f t="shared" si="0"/>
        <v>1956.521739130435</v>
      </c>
      <c r="H42" s="224">
        <f>Aurora_Output!D59</f>
        <v>1</v>
      </c>
      <c r="I42" s="225">
        <f>Aurora_Output!E59</f>
        <v>1</v>
      </c>
      <c r="J42" s="225">
        <f>Aurora_Output!F59</f>
        <v>1</v>
      </c>
      <c r="K42" s="225">
        <f>Aurora_Output!G59</f>
        <v>1</v>
      </c>
      <c r="L42" s="225">
        <f>Aurora_Output!H59</f>
        <v>1</v>
      </c>
      <c r="M42" s="225">
        <f>Aurora_Output!I59</f>
        <v>1</v>
      </c>
      <c r="N42" s="225">
        <f>Aurora_Output!J59</f>
        <v>1</v>
      </c>
      <c r="O42" s="225">
        <f>Aurora_Output!K59</f>
        <v>1</v>
      </c>
      <c r="P42" s="225">
        <f>Aurora_Output!L59</f>
        <v>1</v>
      </c>
      <c r="Q42" s="225">
        <f>Aurora_Output!M59</f>
        <v>1</v>
      </c>
      <c r="R42" s="225">
        <f>Aurora_Output!N59</f>
        <v>1</v>
      </c>
      <c r="S42" s="225">
        <f>Aurora_Output!O59</f>
        <v>1</v>
      </c>
      <c r="T42" s="225">
        <f>Aurora_Output!P59</f>
        <v>1</v>
      </c>
      <c r="U42" s="225">
        <f>Aurora_Output!Q59</f>
        <v>1</v>
      </c>
      <c r="V42" s="225">
        <f>Aurora_Output!R59</f>
        <v>1</v>
      </c>
      <c r="W42" s="225">
        <f>Aurora_Output!S59</f>
        <v>1</v>
      </c>
      <c r="X42" s="225">
        <f>Aurora_Output!T59</f>
        <v>1</v>
      </c>
      <c r="Y42" s="225">
        <f>Aurora_Output!U59</f>
        <v>0</v>
      </c>
      <c r="Z42" s="225">
        <f>Aurora_Output!V59</f>
        <v>1</v>
      </c>
      <c r="AA42" s="225">
        <f>Aurora_Output!W59</f>
        <v>1</v>
      </c>
      <c r="AB42">
        <f>Aurora_Output!AA59</f>
        <v>0</v>
      </c>
      <c r="AC42">
        <f>Aurora_Output!AB59</f>
        <v>0</v>
      </c>
      <c r="AD42">
        <f>Aurora_Output!AC59</f>
        <v>0</v>
      </c>
      <c r="AE42">
        <f>Aurora_Output!AD59</f>
        <v>0</v>
      </c>
      <c r="AF42">
        <f>Aurora_Output!AE59</f>
        <v>0</v>
      </c>
      <c r="AG42">
        <f>Aurora_Output!AF59</f>
        <v>0</v>
      </c>
      <c r="AH42">
        <f>Aurora_Output!AG59</f>
        <v>0</v>
      </c>
      <c r="AI42">
        <f>Aurora_Output!AH59</f>
        <v>0</v>
      </c>
      <c r="AJ42">
        <f>Aurora_Output!AI59</f>
        <v>0</v>
      </c>
      <c r="AK42">
        <f>Aurora_Output!AJ59</f>
        <v>0</v>
      </c>
      <c r="AL42">
        <f>Aurora_Output!AK59</f>
        <v>0</v>
      </c>
    </row>
    <row r="43" spans="1:38" x14ac:dyDescent="0.3">
      <c r="A43" s="35" t="s">
        <v>294</v>
      </c>
      <c r="B43" s="61" t="s">
        <v>237</v>
      </c>
      <c r="C43" s="61">
        <v>3</v>
      </c>
      <c r="D43" s="219">
        <v>1.9</v>
      </c>
      <c r="E43" s="214" t="s">
        <v>154</v>
      </c>
      <c r="F43" s="214" t="s">
        <v>154</v>
      </c>
      <c r="G43" s="213">
        <f t="shared" si="0"/>
        <v>1578.9473684210527</v>
      </c>
      <c r="H43" s="224">
        <f>Aurora_Output!D60</f>
        <v>1</v>
      </c>
      <c r="I43" s="225">
        <f>Aurora_Output!E60</f>
        <v>0</v>
      </c>
      <c r="J43" s="225">
        <f>Aurora_Output!F60</f>
        <v>0</v>
      </c>
      <c r="K43" s="225">
        <f>Aurora_Output!G60</f>
        <v>1</v>
      </c>
      <c r="L43" s="225">
        <f>Aurora_Output!H60</f>
        <v>0</v>
      </c>
      <c r="M43" s="225">
        <f>Aurora_Output!I60</f>
        <v>0</v>
      </c>
      <c r="N43" s="225">
        <f>Aurora_Output!J60</f>
        <v>0</v>
      </c>
      <c r="O43" s="225">
        <f>Aurora_Output!K60</f>
        <v>1</v>
      </c>
      <c r="P43" s="225">
        <f>Aurora_Output!L60</f>
        <v>0</v>
      </c>
      <c r="Q43" s="225">
        <f>Aurora_Output!M60</f>
        <v>0</v>
      </c>
      <c r="R43" s="225">
        <f>Aurora_Output!N60</f>
        <v>0</v>
      </c>
      <c r="S43" s="225">
        <f>Aurora_Output!O60</f>
        <v>1</v>
      </c>
      <c r="T43" s="225">
        <f>Aurora_Output!P60</f>
        <v>1</v>
      </c>
      <c r="U43" s="225">
        <f>Aurora_Output!Q60</f>
        <v>0</v>
      </c>
      <c r="V43" s="225">
        <f>Aurora_Output!R60</f>
        <v>1</v>
      </c>
      <c r="W43" s="225">
        <f>Aurora_Output!S60</f>
        <v>0</v>
      </c>
      <c r="X43" s="225">
        <f>Aurora_Output!T60</f>
        <v>1</v>
      </c>
      <c r="Y43" s="225">
        <f>Aurora_Output!U60</f>
        <v>0</v>
      </c>
      <c r="Z43" s="225">
        <f>Aurora_Output!V60</f>
        <v>1</v>
      </c>
      <c r="AA43" s="225">
        <f>Aurora_Output!W60</f>
        <v>0</v>
      </c>
      <c r="AB43">
        <f>Aurora_Output!AA60</f>
        <v>0</v>
      </c>
      <c r="AC43">
        <f>Aurora_Output!AB60</f>
        <v>0</v>
      </c>
      <c r="AD43">
        <f>Aurora_Output!AC60</f>
        <v>0</v>
      </c>
      <c r="AE43">
        <f>Aurora_Output!AD60</f>
        <v>0</v>
      </c>
      <c r="AF43">
        <f>Aurora_Output!AE60</f>
        <v>0</v>
      </c>
      <c r="AG43">
        <f>Aurora_Output!AF60</f>
        <v>0</v>
      </c>
      <c r="AH43">
        <f>Aurora_Output!AG60</f>
        <v>0</v>
      </c>
      <c r="AI43">
        <f>Aurora_Output!AH60</f>
        <v>0</v>
      </c>
      <c r="AJ43">
        <f>Aurora_Output!AI60</f>
        <v>0</v>
      </c>
      <c r="AK43">
        <f>Aurora_Output!AJ60</f>
        <v>0</v>
      </c>
      <c r="AL43">
        <f>Aurora_Output!AK60</f>
        <v>0</v>
      </c>
    </row>
    <row r="44" spans="1:38" x14ac:dyDescent="0.3">
      <c r="A44" s="35" t="s">
        <v>294</v>
      </c>
      <c r="B44" s="61" t="s">
        <v>239</v>
      </c>
      <c r="C44" s="61">
        <v>3</v>
      </c>
      <c r="D44" s="219">
        <v>1.9</v>
      </c>
      <c r="E44" s="214" t="s">
        <v>154</v>
      </c>
      <c r="F44" s="214" t="s">
        <v>154</v>
      </c>
      <c r="G44" s="213">
        <f t="shared" si="0"/>
        <v>1578.9473684210527</v>
      </c>
      <c r="H44" s="224">
        <f>Aurora_Output!D61</f>
        <v>1</v>
      </c>
      <c r="I44" s="225">
        <f>Aurora_Output!E61</f>
        <v>1</v>
      </c>
      <c r="J44" s="225">
        <f>Aurora_Output!F61</f>
        <v>1</v>
      </c>
      <c r="K44" s="225">
        <f>Aurora_Output!G61</f>
        <v>1</v>
      </c>
      <c r="L44" s="225">
        <f>Aurora_Output!H61</f>
        <v>1</v>
      </c>
      <c r="M44" s="225">
        <f>Aurora_Output!I61</f>
        <v>1</v>
      </c>
      <c r="N44" s="225">
        <f>Aurora_Output!J61</f>
        <v>1</v>
      </c>
      <c r="O44" s="225">
        <f>Aurora_Output!K61</f>
        <v>1</v>
      </c>
      <c r="P44" s="225">
        <f>Aurora_Output!L61</f>
        <v>1</v>
      </c>
      <c r="Q44" s="225">
        <f>Aurora_Output!M61</f>
        <v>1</v>
      </c>
      <c r="R44" s="225">
        <f>Aurora_Output!N61</f>
        <v>1</v>
      </c>
      <c r="S44" s="225">
        <f>Aurora_Output!O61</f>
        <v>1</v>
      </c>
      <c r="T44" s="225">
        <f>Aurora_Output!P61</f>
        <v>1</v>
      </c>
      <c r="U44" s="225">
        <f>Aurora_Output!Q61</f>
        <v>1</v>
      </c>
      <c r="V44" s="225">
        <f>Aurora_Output!R61</f>
        <v>1</v>
      </c>
      <c r="W44" s="225">
        <f>Aurora_Output!S61</f>
        <v>1</v>
      </c>
      <c r="X44" s="225">
        <f>Aurora_Output!T61</f>
        <v>1</v>
      </c>
      <c r="Y44" s="225">
        <f>Aurora_Output!U61</f>
        <v>0</v>
      </c>
      <c r="Z44" s="225">
        <f>Aurora_Output!V61</f>
        <v>1</v>
      </c>
      <c r="AA44" s="225">
        <f>Aurora_Output!W61</f>
        <v>1</v>
      </c>
      <c r="AB44">
        <f>Aurora_Output!AA61</f>
        <v>0</v>
      </c>
      <c r="AC44">
        <f>Aurora_Output!AB61</f>
        <v>0</v>
      </c>
      <c r="AD44">
        <f>Aurora_Output!AC61</f>
        <v>0</v>
      </c>
      <c r="AE44">
        <f>Aurora_Output!AD61</f>
        <v>0</v>
      </c>
      <c r="AF44">
        <f>Aurora_Output!AE61</f>
        <v>0</v>
      </c>
      <c r="AG44">
        <f>Aurora_Output!AF61</f>
        <v>0</v>
      </c>
      <c r="AH44">
        <f>Aurora_Output!AG61</f>
        <v>0</v>
      </c>
      <c r="AI44">
        <f>Aurora_Output!AH61</f>
        <v>0</v>
      </c>
      <c r="AJ44">
        <f>Aurora_Output!AI61</f>
        <v>0</v>
      </c>
      <c r="AK44">
        <f>Aurora_Output!AJ61</f>
        <v>0</v>
      </c>
      <c r="AL44">
        <f>Aurora_Output!AK61</f>
        <v>0</v>
      </c>
    </row>
    <row r="45" spans="1:38" x14ac:dyDescent="0.3">
      <c r="A45" s="35" t="s">
        <v>295</v>
      </c>
      <c r="B45" s="61" t="s">
        <v>241</v>
      </c>
      <c r="C45" s="61">
        <v>108</v>
      </c>
      <c r="D45" s="219">
        <v>1.95</v>
      </c>
      <c r="E45" s="214" t="s">
        <v>154</v>
      </c>
      <c r="F45" s="214" t="s">
        <v>154</v>
      </c>
      <c r="G45" s="213">
        <f t="shared" si="0"/>
        <v>55384.615384615383</v>
      </c>
      <c r="H45" s="224">
        <f>Aurora_Output!D62</f>
        <v>1</v>
      </c>
      <c r="I45" s="225">
        <f>Aurora_Output!E62</f>
        <v>1</v>
      </c>
      <c r="J45" s="225">
        <f>Aurora_Output!F62</f>
        <v>1</v>
      </c>
      <c r="K45" s="225">
        <f>Aurora_Output!G62</f>
        <v>1</v>
      </c>
      <c r="L45" s="225">
        <f>Aurora_Output!H62</f>
        <v>1</v>
      </c>
      <c r="M45" s="225">
        <f>Aurora_Output!I62</f>
        <v>1</v>
      </c>
      <c r="N45" s="225">
        <f>Aurora_Output!J62</f>
        <v>1</v>
      </c>
      <c r="O45" s="225">
        <f>Aurora_Output!K62</f>
        <v>1</v>
      </c>
      <c r="P45" s="225">
        <f>Aurora_Output!L62</f>
        <v>1</v>
      </c>
      <c r="Q45" s="225">
        <f>Aurora_Output!M62</f>
        <v>1</v>
      </c>
      <c r="R45" s="225">
        <f>Aurora_Output!N62</f>
        <v>1</v>
      </c>
      <c r="S45" s="225">
        <f>Aurora_Output!O62</f>
        <v>1</v>
      </c>
      <c r="T45" s="225">
        <f>Aurora_Output!P62</f>
        <v>1</v>
      </c>
      <c r="U45" s="225">
        <f>Aurora_Output!Q62</f>
        <v>1</v>
      </c>
      <c r="V45" s="225">
        <f>Aurora_Output!R62</f>
        <v>1</v>
      </c>
      <c r="W45" s="225">
        <f>Aurora_Output!S62</f>
        <v>1</v>
      </c>
      <c r="X45" s="225">
        <f>Aurora_Output!T62</f>
        <v>1</v>
      </c>
      <c r="Y45" s="225">
        <f>Aurora_Output!U62</f>
        <v>0</v>
      </c>
      <c r="Z45" s="225">
        <f>Aurora_Output!V62</f>
        <v>1</v>
      </c>
      <c r="AA45" s="225">
        <f>Aurora_Output!W62</f>
        <v>1</v>
      </c>
      <c r="AB45">
        <f>Aurora_Output!AA62</f>
        <v>0</v>
      </c>
      <c r="AC45">
        <f>Aurora_Output!AB62</f>
        <v>0</v>
      </c>
      <c r="AD45">
        <f>Aurora_Output!AC62</f>
        <v>0</v>
      </c>
      <c r="AE45">
        <f>Aurora_Output!AD62</f>
        <v>0</v>
      </c>
      <c r="AF45">
        <f>Aurora_Output!AE62</f>
        <v>0</v>
      </c>
      <c r="AG45">
        <f>Aurora_Output!AF62</f>
        <v>0</v>
      </c>
      <c r="AH45">
        <f>Aurora_Output!AG62</f>
        <v>0</v>
      </c>
      <c r="AI45">
        <f>Aurora_Output!AH62</f>
        <v>0</v>
      </c>
      <c r="AJ45">
        <f>Aurora_Output!AI62</f>
        <v>0</v>
      </c>
      <c r="AK45">
        <f>Aurora_Output!AJ62</f>
        <v>0</v>
      </c>
      <c r="AL45">
        <f>Aurora_Output!AK62</f>
        <v>0</v>
      </c>
    </row>
    <row r="46" spans="1:38" x14ac:dyDescent="0.3">
      <c r="A46" s="35" t="s">
        <v>296</v>
      </c>
      <c r="B46" s="88" t="s">
        <v>243</v>
      </c>
      <c r="C46" s="88">
        <v>42</v>
      </c>
      <c r="D46" s="220">
        <v>0.34</v>
      </c>
      <c r="E46" s="214" t="s">
        <v>154</v>
      </c>
      <c r="F46" s="214" t="s">
        <v>154</v>
      </c>
      <c r="G46" s="213">
        <f t="shared" si="0"/>
        <v>123529.41176470587</v>
      </c>
      <c r="H46" s="224">
        <f>Aurora_Output!D63</f>
        <v>1</v>
      </c>
      <c r="I46" s="225">
        <f>Aurora_Output!E63</f>
        <v>0</v>
      </c>
      <c r="J46" s="225">
        <f>Aurora_Output!F63</f>
        <v>0</v>
      </c>
      <c r="K46" s="225">
        <f>Aurora_Output!G63</f>
        <v>0</v>
      </c>
      <c r="L46" s="225">
        <f>Aurora_Output!H63</f>
        <v>0</v>
      </c>
      <c r="M46" s="225">
        <f>Aurora_Output!I63</f>
        <v>0</v>
      </c>
      <c r="N46" s="225">
        <f>Aurora_Output!J63</f>
        <v>0</v>
      </c>
      <c r="O46" s="225">
        <f>Aurora_Output!K63</f>
        <v>0</v>
      </c>
      <c r="P46" s="225">
        <f>Aurora_Output!L63</f>
        <v>0</v>
      </c>
      <c r="Q46" s="225">
        <f>Aurora_Output!M63</f>
        <v>0</v>
      </c>
      <c r="R46" s="225">
        <f>Aurora_Output!N63</f>
        <v>0</v>
      </c>
      <c r="S46" s="225">
        <f>Aurora_Output!O63</f>
        <v>0</v>
      </c>
      <c r="T46" s="225">
        <f>Aurora_Output!P63</f>
        <v>0</v>
      </c>
      <c r="U46" s="225">
        <f>Aurora_Output!Q63</f>
        <v>0</v>
      </c>
      <c r="V46" s="225">
        <f>Aurora_Output!R63</f>
        <v>1</v>
      </c>
      <c r="W46" s="225">
        <f>Aurora_Output!S63</f>
        <v>0</v>
      </c>
      <c r="X46" s="225">
        <f>Aurora_Output!T63</f>
        <v>1</v>
      </c>
      <c r="Y46" s="225">
        <f>Aurora_Output!U63</f>
        <v>0</v>
      </c>
      <c r="Z46" s="225">
        <f>Aurora_Output!V63</f>
        <v>0</v>
      </c>
      <c r="AA46" s="225">
        <f>Aurora_Output!W63</f>
        <v>0</v>
      </c>
      <c r="AB46">
        <f>Aurora_Output!AA63</f>
        <v>0</v>
      </c>
      <c r="AC46">
        <f>Aurora_Output!AB63</f>
        <v>0</v>
      </c>
      <c r="AD46">
        <f>Aurora_Output!AC63</f>
        <v>0</v>
      </c>
      <c r="AE46">
        <f>Aurora_Output!AD63</f>
        <v>0</v>
      </c>
      <c r="AF46">
        <f>Aurora_Output!AE63</f>
        <v>0</v>
      </c>
      <c r="AG46">
        <f>Aurora_Output!AF63</f>
        <v>0</v>
      </c>
      <c r="AH46">
        <f>Aurora_Output!AG63</f>
        <v>0</v>
      </c>
      <c r="AI46">
        <f>Aurora_Output!AH63</f>
        <v>0</v>
      </c>
      <c r="AJ46">
        <f>Aurora_Output!AI63</f>
        <v>0</v>
      </c>
      <c r="AK46">
        <f>Aurora_Output!AJ63</f>
        <v>0</v>
      </c>
      <c r="AL46">
        <f>Aurora_Output!AK63</f>
        <v>0</v>
      </c>
    </row>
    <row r="47" spans="1:38" x14ac:dyDescent="0.3">
      <c r="A47" s="35" t="s">
        <v>295</v>
      </c>
      <c r="B47" s="88" t="s">
        <v>245</v>
      </c>
      <c r="C47" s="88">
        <v>97</v>
      </c>
      <c r="D47" s="220">
        <v>1.2</v>
      </c>
      <c r="E47" s="214" t="s">
        <v>154</v>
      </c>
      <c r="F47" s="214" t="s">
        <v>154</v>
      </c>
      <c r="G47" s="213">
        <f t="shared" si="0"/>
        <v>80833.333333333343</v>
      </c>
      <c r="H47" s="224">
        <f>Aurora_Output!D64</f>
        <v>1</v>
      </c>
      <c r="I47" s="225">
        <f>Aurora_Output!E64</f>
        <v>1</v>
      </c>
      <c r="J47" s="225">
        <f>Aurora_Output!F64</f>
        <v>1</v>
      </c>
      <c r="K47" s="225">
        <f>Aurora_Output!G64</f>
        <v>1</v>
      </c>
      <c r="L47" s="225">
        <f>Aurora_Output!H64</f>
        <v>1</v>
      </c>
      <c r="M47" s="225">
        <f>Aurora_Output!I64</f>
        <v>1</v>
      </c>
      <c r="N47" s="225">
        <f>Aurora_Output!J64</f>
        <v>1</v>
      </c>
      <c r="O47" s="225">
        <f>Aurora_Output!K64</f>
        <v>1</v>
      </c>
      <c r="P47" s="225">
        <f>Aurora_Output!L64</f>
        <v>1</v>
      </c>
      <c r="Q47" s="225">
        <f>Aurora_Output!M64</f>
        <v>1</v>
      </c>
      <c r="R47" s="225">
        <f>Aurora_Output!N64</f>
        <v>1</v>
      </c>
      <c r="S47" s="225">
        <f>Aurora_Output!O64</f>
        <v>1</v>
      </c>
      <c r="T47" s="225">
        <f>Aurora_Output!P64</f>
        <v>1</v>
      </c>
      <c r="U47" s="225">
        <f>Aurora_Output!Q64</f>
        <v>1</v>
      </c>
      <c r="V47" s="225">
        <f>Aurora_Output!R64</f>
        <v>1</v>
      </c>
      <c r="W47" s="225">
        <f>Aurora_Output!S64</f>
        <v>1</v>
      </c>
      <c r="X47" s="225">
        <f>Aurora_Output!T64</f>
        <v>1</v>
      </c>
      <c r="Y47" s="225">
        <f>Aurora_Output!U64</f>
        <v>0</v>
      </c>
      <c r="Z47" s="225">
        <f>Aurora_Output!V64</f>
        <v>1</v>
      </c>
      <c r="AA47" s="225">
        <f>Aurora_Output!W64</f>
        <v>1</v>
      </c>
      <c r="AB47">
        <f>Aurora_Output!AA64</f>
        <v>0</v>
      </c>
      <c r="AC47">
        <f>Aurora_Output!AB64</f>
        <v>0</v>
      </c>
      <c r="AD47">
        <f>Aurora_Output!AC64</f>
        <v>0</v>
      </c>
      <c r="AE47">
        <f>Aurora_Output!AD64</f>
        <v>0</v>
      </c>
      <c r="AF47">
        <f>Aurora_Output!AE64</f>
        <v>0</v>
      </c>
      <c r="AG47">
        <f>Aurora_Output!AF64</f>
        <v>0</v>
      </c>
      <c r="AH47">
        <f>Aurora_Output!AG64</f>
        <v>0</v>
      </c>
      <c r="AI47">
        <f>Aurora_Output!AH64</f>
        <v>0</v>
      </c>
      <c r="AJ47">
        <f>Aurora_Output!AI64</f>
        <v>0</v>
      </c>
      <c r="AK47">
        <f>Aurora_Output!AJ64</f>
        <v>0</v>
      </c>
      <c r="AL47">
        <f>Aurora_Output!AK64</f>
        <v>0</v>
      </c>
    </row>
    <row r="48" spans="1:38" x14ac:dyDescent="0.3">
      <c r="A48" s="35" t="s">
        <v>297</v>
      </c>
      <c r="B48" s="35" t="s">
        <v>247</v>
      </c>
      <c r="C48" s="35">
        <v>16</v>
      </c>
      <c r="D48" s="214" t="s">
        <v>154</v>
      </c>
      <c r="E48" s="216">
        <v>0.15</v>
      </c>
      <c r="F48" s="215">
        <v>140458</v>
      </c>
      <c r="G48" s="213">
        <f>E48*F48</f>
        <v>21068.7</v>
      </c>
      <c r="H48" s="224">
        <f>Aurora_Output!D65</f>
        <v>1</v>
      </c>
      <c r="I48" s="225">
        <f>Aurora_Output!E65</f>
        <v>1</v>
      </c>
      <c r="J48" s="225">
        <f>Aurora_Output!F65</f>
        <v>1</v>
      </c>
      <c r="K48" s="225">
        <f>Aurora_Output!G65</f>
        <v>1</v>
      </c>
      <c r="L48" s="225">
        <f>Aurora_Output!H65</f>
        <v>1</v>
      </c>
      <c r="M48" s="225">
        <f>Aurora_Output!I65</f>
        <v>1</v>
      </c>
      <c r="N48" s="225">
        <f>Aurora_Output!J65</f>
        <v>1</v>
      </c>
      <c r="O48" s="225">
        <f>Aurora_Output!K65</f>
        <v>1</v>
      </c>
      <c r="P48" s="225">
        <f>Aurora_Output!L65</f>
        <v>1</v>
      </c>
      <c r="Q48" s="225">
        <f>Aurora_Output!M65</f>
        <v>1</v>
      </c>
      <c r="R48" s="225">
        <f>Aurora_Output!N65</f>
        <v>1</v>
      </c>
      <c r="S48" s="225">
        <f>Aurora_Output!O65</f>
        <v>1</v>
      </c>
      <c r="T48" s="225">
        <f>Aurora_Output!P65</f>
        <v>1</v>
      </c>
      <c r="U48" s="225">
        <f>Aurora_Output!Q65</f>
        <v>1</v>
      </c>
      <c r="V48" s="225">
        <f>Aurora_Output!R65</f>
        <v>1</v>
      </c>
      <c r="W48" s="225">
        <f>Aurora_Output!S65</f>
        <v>1</v>
      </c>
      <c r="X48" s="225">
        <f>Aurora_Output!T65</f>
        <v>1</v>
      </c>
      <c r="Y48" s="225">
        <f>Aurora_Output!U65</f>
        <v>0</v>
      </c>
      <c r="Z48" s="225">
        <f>Aurora_Output!V65</f>
        <v>1</v>
      </c>
      <c r="AA48" s="225">
        <f>Aurora_Output!W65</f>
        <v>1</v>
      </c>
      <c r="AB48">
        <f>Aurora_Output!AA65</f>
        <v>0</v>
      </c>
      <c r="AC48">
        <f>Aurora_Output!AB65</f>
        <v>0</v>
      </c>
      <c r="AD48">
        <f>Aurora_Output!AC65</f>
        <v>0</v>
      </c>
      <c r="AE48">
        <f>Aurora_Output!AD65</f>
        <v>0</v>
      </c>
      <c r="AF48">
        <f>Aurora_Output!AE65</f>
        <v>0</v>
      </c>
      <c r="AG48">
        <f>Aurora_Output!AF65</f>
        <v>0</v>
      </c>
      <c r="AH48">
        <f>Aurora_Output!AG65</f>
        <v>0</v>
      </c>
      <c r="AI48">
        <f>Aurora_Output!AH65</f>
        <v>0</v>
      </c>
      <c r="AJ48">
        <f>Aurora_Output!AI65</f>
        <v>0</v>
      </c>
      <c r="AK48">
        <f>Aurora_Output!AJ65</f>
        <v>0</v>
      </c>
      <c r="AL48">
        <f>Aurora_Output!AK65</f>
        <v>0</v>
      </c>
    </row>
    <row r="49" spans="1:38" x14ac:dyDescent="0.3">
      <c r="A49" s="35" t="s">
        <v>297</v>
      </c>
      <c r="B49" s="35" t="s">
        <v>249</v>
      </c>
      <c r="C49" s="35">
        <v>5</v>
      </c>
      <c r="D49" s="214" t="s">
        <v>154</v>
      </c>
      <c r="E49" s="216">
        <v>0.25</v>
      </c>
      <c r="F49" s="215">
        <v>3267</v>
      </c>
      <c r="G49" s="213">
        <f t="shared" ref="G49:G52" si="1">E49*F49</f>
        <v>816.75</v>
      </c>
      <c r="H49" s="224">
        <f>Aurora_Output!D66</f>
        <v>1</v>
      </c>
      <c r="I49" s="225">
        <f>Aurora_Output!E66</f>
        <v>1</v>
      </c>
      <c r="J49" s="225">
        <f>Aurora_Output!F66</f>
        <v>1</v>
      </c>
      <c r="K49" s="225">
        <f>Aurora_Output!G66</f>
        <v>1</v>
      </c>
      <c r="L49" s="225">
        <f>Aurora_Output!H66</f>
        <v>1</v>
      </c>
      <c r="M49" s="225">
        <f>Aurora_Output!I66</f>
        <v>1</v>
      </c>
      <c r="N49" s="225">
        <f>Aurora_Output!J66</f>
        <v>1</v>
      </c>
      <c r="O49" s="225">
        <f>Aurora_Output!K66</f>
        <v>1</v>
      </c>
      <c r="P49" s="225">
        <f>Aurora_Output!L66</f>
        <v>1</v>
      </c>
      <c r="Q49" s="225">
        <f>Aurora_Output!M66</f>
        <v>1</v>
      </c>
      <c r="R49" s="225">
        <f>Aurora_Output!N66</f>
        <v>1</v>
      </c>
      <c r="S49" s="225">
        <f>Aurora_Output!O66</f>
        <v>1</v>
      </c>
      <c r="T49" s="225">
        <f>Aurora_Output!P66</f>
        <v>1</v>
      </c>
      <c r="U49" s="225">
        <f>Aurora_Output!Q66</f>
        <v>1</v>
      </c>
      <c r="V49" s="225">
        <f>Aurora_Output!R66</f>
        <v>1</v>
      </c>
      <c r="W49" s="225">
        <f>Aurora_Output!S66</f>
        <v>1</v>
      </c>
      <c r="X49" s="225">
        <f>Aurora_Output!T66</f>
        <v>1</v>
      </c>
      <c r="Y49" s="225">
        <f>Aurora_Output!U66</f>
        <v>0</v>
      </c>
      <c r="Z49" s="225">
        <f>Aurora_Output!V66</f>
        <v>1</v>
      </c>
      <c r="AA49" s="225">
        <f>Aurora_Output!W66</f>
        <v>1</v>
      </c>
      <c r="AB49">
        <f>Aurora_Output!AA66</f>
        <v>0</v>
      </c>
      <c r="AC49">
        <f>Aurora_Output!AB66</f>
        <v>0</v>
      </c>
      <c r="AD49">
        <f>Aurora_Output!AC66</f>
        <v>0</v>
      </c>
      <c r="AE49">
        <f>Aurora_Output!AD66</f>
        <v>0</v>
      </c>
      <c r="AF49">
        <f>Aurora_Output!AE66</f>
        <v>0</v>
      </c>
      <c r="AG49">
        <f>Aurora_Output!AF66</f>
        <v>0</v>
      </c>
      <c r="AH49">
        <f>Aurora_Output!AG66</f>
        <v>0</v>
      </c>
      <c r="AI49">
        <f>Aurora_Output!AH66</f>
        <v>0</v>
      </c>
      <c r="AJ49">
        <f>Aurora_Output!AI66</f>
        <v>0</v>
      </c>
      <c r="AK49">
        <f>Aurora_Output!AJ66</f>
        <v>0</v>
      </c>
      <c r="AL49">
        <f>Aurora_Output!AK66</f>
        <v>0</v>
      </c>
    </row>
    <row r="50" spans="1:38" x14ac:dyDescent="0.3">
      <c r="A50" s="35" t="s">
        <v>251</v>
      </c>
      <c r="B50" s="35" t="s">
        <v>251</v>
      </c>
      <c r="C50" s="35">
        <v>33</v>
      </c>
      <c r="D50" s="214" t="s">
        <v>154</v>
      </c>
      <c r="E50" s="216">
        <v>0.15</v>
      </c>
      <c r="F50" s="215">
        <v>1053027</v>
      </c>
      <c r="G50" s="213">
        <f t="shared" si="1"/>
        <v>157954.04999999999</v>
      </c>
      <c r="H50" s="224">
        <f>Aurora_Output!D67</f>
        <v>1</v>
      </c>
      <c r="I50" s="225">
        <f>Aurora_Output!E67</f>
        <v>1</v>
      </c>
      <c r="J50" s="225">
        <f>Aurora_Output!F67</f>
        <v>1</v>
      </c>
      <c r="K50" s="225">
        <f>Aurora_Output!G67</f>
        <v>1</v>
      </c>
      <c r="L50" s="225">
        <f>Aurora_Output!H67</f>
        <v>1</v>
      </c>
      <c r="M50" s="225">
        <f>Aurora_Output!I67</f>
        <v>1</v>
      </c>
      <c r="N50" s="225">
        <f>Aurora_Output!J67</f>
        <v>1</v>
      </c>
      <c r="O50" s="225">
        <f>Aurora_Output!K67</f>
        <v>1</v>
      </c>
      <c r="P50" s="225">
        <f>Aurora_Output!L67</f>
        <v>1</v>
      </c>
      <c r="Q50" s="225">
        <f>Aurora_Output!M67</f>
        <v>1</v>
      </c>
      <c r="R50" s="225">
        <f>Aurora_Output!N67</f>
        <v>1</v>
      </c>
      <c r="S50" s="225">
        <f>Aurora_Output!O67</f>
        <v>1</v>
      </c>
      <c r="T50" s="225">
        <f>Aurora_Output!P67</f>
        <v>1</v>
      </c>
      <c r="U50" s="225">
        <f>Aurora_Output!Q67</f>
        <v>1</v>
      </c>
      <c r="V50" s="225">
        <f>Aurora_Output!R67</f>
        <v>1</v>
      </c>
      <c r="W50" s="225">
        <f>Aurora_Output!S67</f>
        <v>1</v>
      </c>
      <c r="X50" s="225">
        <f>Aurora_Output!T67</f>
        <v>1</v>
      </c>
      <c r="Y50" s="225">
        <f>Aurora_Output!U67</f>
        <v>0</v>
      </c>
      <c r="Z50" s="225">
        <f>Aurora_Output!V67</f>
        <v>1</v>
      </c>
      <c r="AA50" s="225">
        <f>Aurora_Output!W67</f>
        <v>1</v>
      </c>
      <c r="AB50">
        <f>Aurora_Output!AA67</f>
        <v>0</v>
      </c>
      <c r="AC50">
        <f>Aurora_Output!AB67</f>
        <v>0</v>
      </c>
      <c r="AD50">
        <f>Aurora_Output!AC67</f>
        <v>0</v>
      </c>
      <c r="AE50">
        <f>Aurora_Output!AD67</f>
        <v>0</v>
      </c>
      <c r="AF50">
        <f>Aurora_Output!AE67</f>
        <v>0</v>
      </c>
      <c r="AG50">
        <f>Aurora_Output!AF67</f>
        <v>0</v>
      </c>
      <c r="AH50">
        <f>Aurora_Output!AG67</f>
        <v>0</v>
      </c>
      <c r="AI50">
        <f>Aurora_Output!AH67</f>
        <v>0</v>
      </c>
      <c r="AJ50">
        <f>Aurora_Output!AI67</f>
        <v>0</v>
      </c>
      <c r="AK50">
        <f>Aurora_Output!AJ67</f>
        <v>0</v>
      </c>
      <c r="AL50">
        <f>Aurora_Output!AK67</f>
        <v>0</v>
      </c>
    </row>
    <row r="51" spans="1:38" x14ac:dyDescent="0.3">
      <c r="A51" s="35" t="s">
        <v>253</v>
      </c>
      <c r="B51" s="35" t="s">
        <v>253</v>
      </c>
      <c r="C51" s="35">
        <v>21</v>
      </c>
      <c r="D51" s="214" t="s">
        <v>154</v>
      </c>
      <c r="E51" s="216">
        <v>0.18</v>
      </c>
      <c r="F51" s="215">
        <v>140458</v>
      </c>
      <c r="G51" s="213">
        <f t="shared" si="1"/>
        <v>25282.44</v>
      </c>
      <c r="H51" s="224">
        <f>Aurora_Output!D68</f>
        <v>1</v>
      </c>
      <c r="I51" s="225">
        <f>Aurora_Output!E68</f>
        <v>1</v>
      </c>
      <c r="J51" s="225">
        <f>Aurora_Output!F68</f>
        <v>1</v>
      </c>
      <c r="K51" s="225">
        <f>Aurora_Output!G68</f>
        <v>1</v>
      </c>
      <c r="L51" s="225">
        <f>Aurora_Output!H68</f>
        <v>1</v>
      </c>
      <c r="M51" s="225">
        <f>Aurora_Output!I68</f>
        <v>1</v>
      </c>
      <c r="N51" s="225">
        <f>Aurora_Output!J68</f>
        <v>1</v>
      </c>
      <c r="O51" s="225">
        <f>Aurora_Output!K68</f>
        <v>1</v>
      </c>
      <c r="P51" s="225">
        <f>Aurora_Output!L68</f>
        <v>1</v>
      </c>
      <c r="Q51" s="225">
        <f>Aurora_Output!M68</f>
        <v>1</v>
      </c>
      <c r="R51" s="225">
        <f>Aurora_Output!N68</f>
        <v>1</v>
      </c>
      <c r="S51" s="225">
        <f>Aurora_Output!O68</f>
        <v>1</v>
      </c>
      <c r="T51" s="225">
        <f>Aurora_Output!P68</f>
        <v>1</v>
      </c>
      <c r="U51" s="225">
        <f>Aurora_Output!Q68</f>
        <v>1</v>
      </c>
      <c r="V51" s="225">
        <f>Aurora_Output!R68</f>
        <v>1</v>
      </c>
      <c r="W51" s="225">
        <f>Aurora_Output!S68</f>
        <v>1</v>
      </c>
      <c r="X51" s="225">
        <f>Aurora_Output!T68</f>
        <v>1</v>
      </c>
      <c r="Y51" s="225">
        <f>Aurora_Output!U68</f>
        <v>0</v>
      </c>
      <c r="Z51" s="225">
        <f>Aurora_Output!V68</f>
        <v>1</v>
      </c>
      <c r="AA51" s="225">
        <f>Aurora_Output!W68</f>
        <v>1</v>
      </c>
      <c r="AB51">
        <f>Aurora_Output!AA68</f>
        <v>0</v>
      </c>
      <c r="AC51">
        <f>Aurora_Output!AB68</f>
        <v>0</v>
      </c>
      <c r="AD51">
        <f>Aurora_Output!AC68</f>
        <v>0</v>
      </c>
      <c r="AE51">
        <f>Aurora_Output!AD68</f>
        <v>0</v>
      </c>
      <c r="AF51">
        <f>Aurora_Output!AE68</f>
        <v>0</v>
      </c>
      <c r="AG51">
        <f>Aurora_Output!AF68</f>
        <v>0</v>
      </c>
      <c r="AH51">
        <f>Aurora_Output!AG68</f>
        <v>0</v>
      </c>
      <c r="AI51">
        <f>Aurora_Output!AH68</f>
        <v>0</v>
      </c>
      <c r="AJ51">
        <f>Aurora_Output!AI68</f>
        <v>0</v>
      </c>
      <c r="AK51">
        <f>Aurora_Output!AJ68</f>
        <v>0</v>
      </c>
      <c r="AL51">
        <f>Aurora_Output!AK68</f>
        <v>0</v>
      </c>
    </row>
    <row r="52" spans="1:38" x14ac:dyDescent="0.3">
      <c r="A52" s="35" t="s">
        <v>255</v>
      </c>
      <c r="B52" s="35" t="s">
        <v>255</v>
      </c>
      <c r="C52" s="35">
        <v>2</v>
      </c>
      <c r="D52" s="214" t="s">
        <v>154</v>
      </c>
      <c r="E52" s="216">
        <v>0.18</v>
      </c>
      <c r="F52" s="215">
        <v>3267</v>
      </c>
      <c r="G52" s="213">
        <f t="shared" si="1"/>
        <v>588.05999999999995</v>
      </c>
      <c r="H52" s="224">
        <f>Aurora_Output!D69</f>
        <v>1</v>
      </c>
      <c r="I52" s="225">
        <f>Aurora_Output!E69</f>
        <v>1</v>
      </c>
      <c r="J52" s="225">
        <f>Aurora_Output!F69</f>
        <v>1</v>
      </c>
      <c r="K52" s="225">
        <f>Aurora_Output!G69</f>
        <v>1</v>
      </c>
      <c r="L52" s="225">
        <f>Aurora_Output!H69</f>
        <v>1</v>
      </c>
      <c r="M52" s="225">
        <f>Aurora_Output!I69</f>
        <v>1</v>
      </c>
      <c r="N52" s="225">
        <f>Aurora_Output!J69</f>
        <v>1</v>
      </c>
      <c r="O52" s="225">
        <f>Aurora_Output!K69</f>
        <v>1</v>
      </c>
      <c r="P52" s="225">
        <f>Aurora_Output!L69</f>
        <v>1</v>
      </c>
      <c r="Q52" s="225">
        <f>Aurora_Output!M69</f>
        <v>1</v>
      </c>
      <c r="R52" s="225">
        <f>Aurora_Output!N69</f>
        <v>1</v>
      </c>
      <c r="S52" s="225">
        <f>Aurora_Output!O69</f>
        <v>1</v>
      </c>
      <c r="T52" s="225">
        <f>Aurora_Output!P69</f>
        <v>1</v>
      </c>
      <c r="U52" s="225">
        <f>Aurora_Output!Q69</f>
        <v>1</v>
      </c>
      <c r="V52" s="225">
        <f>Aurora_Output!R69</f>
        <v>1</v>
      </c>
      <c r="W52" s="225">
        <f>Aurora_Output!S69</f>
        <v>1</v>
      </c>
      <c r="X52" s="225">
        <f>Aurora_Output!T69</f>
        <v>1</v>
      </c>
      <c r="Y52" s="225">
        <f>Aurora_Output!U69</f>
        <v>0</v>
      </c>
      <c r="Z52" s="225">
        <f>Aurora_Output!V69</f>
        <v>1</v>
      </c>
      <c r="AA52" s="225">
        <f>Aurora_Output!W69</f>
        <v>1</v>
      </c>
      <c r="AB52">
        <f>Aurora_Output!AA69</f>
        <v>0</v>
      </c>
      <c r="AC52">
        <f>Aurora_Output!AB69</f>
        <v>0</v>
      </c>
      <c r="AD52">
        <f>Aurora_Output!AC69</f>
        <v>0</v>
      </c>
      <c r="AE52">
        <f>Aurora_Output!AD69</f>
        <v>0</v>
      </c>
      <c r="AF52">
        <f>Aurora_Output!AE69</f>
        <v>0</v>
      </c>
      <c r="AG52">
        <f>Aurora_Output!AF69</f>
        <v>0</v>
      </c>
      <c r="AH52">
        <f>Aurora_Output!AG69</f>
        <v>0</v>
      </c>
      <c r="AI52">
        <f>Aurora_Output!AH69</f>
        <v>0</v>
      </c>
      <c r="AJ52">
        <f>Aurora_Output!AI69</f>
        <v>0</v>
      </c>
      <c r="AK52">
        <f>Aurora_Output!AJ69</f>
        <v>0</v>
      </c>
      <c r="AL52">
        <f>Aurora_Output!AK69</f>
        <v>0</v>
      </c>
    </row>
    <row r="53" spans="1:38" x14ac:dyDescent="0.3">
      <c r="A53" s="35"/>
      <c r="B53" s="35" t="s">
        <v>257</v>
      </c>
      <c r="C53" s="35"/>
      <c r="D53" s="214" t="s">
        <v>154</v>
      </c>
      <c r="E53" s="214" t="s">
        <v>154</v>
      </c>
      <c r="F53" s="214" t="s">
        <v>154</v>
      </c>
      <c r="G53" s="214" t="s">
        <v>154</v>
      </c>
      <c r="H53" s="224">
        <f>Aurora_Output!D70</f>
        <v>1</v>
      </c>
      <c r="I53" s="225">
        <f>Aurora_Output!E70</f>
        <v>1</v>
      </c>
      <c r="J53" s="225">
        <f>Aurora_Output!F70</f>
        <v>1</v>
      </c>
      <c r="K53" s="225">
        <f>Aurora_Output!G70</f>
        <v>1</v>
      </c>
      <c r="L53" s="225">
        <f>Aurora_Output!H70</f>
        <v>1</v>
      </c>
      <c r="M53" s="225">
        <f>Aurora_Output!I70</f>
        <v>1</v>
      </c>
      <c r="N53" s="225">
        <f>Aurora_Output!J70</f>
        <v>1</v>
      </c>
      <c r="O53" s="225">
        <f>Aurora_Output!K70</f>
        <v>1</v>
      </c>
      <c r="P53" s="225">
        <f>Aurora_Output!L70</f>
        <v>1</v>
      </c>
      <c r="Q53" s="225">
        <f>Aurora_Output!M70</f>
        <v>1</v>
      </c>
      <c r="R53" s="225">
        <f>Aurora_Output!N70</f>
        <v>1</v>
      </c>
      <c r="S53" s="225">
        <f>Aurora_Output!O70</f>
        <v>1</v>
      </c>
      <c r="T53" s="225">
        <f>Aurora_Output!P70</f>
        <v>1</v>
      </c>
      <c r="U53" s="225">
        <f>Aurora_Output!Q70</f>
        <v>1</v>
      </c>
      <c r="V53" s="225">
        <f>Aurora_Output!R70</f>
        <v>1</v>
      </c>
      <c r="W53" s="225">
        <f>Aurora_Output!S70</f>
        <v>1</v>
      </c>
      <c r="X53" s="225">
        <f>Aurora_Output!T70</f>
        <v>1</v>
      </c>
      <c r="Y53" s="225">
        <f>Aurora_Output!U70</f>
        <v>0</v>
      </c>
      <c r="Z53" s="225">
        <f>Aurora_Output!V70</f>
        <v>1</v>
      </c>
      <c r="AA53" s="225">
        <f>Aurora_Output!W70</f>
        <v>1</v>
      </c>
      <c r="AB53">
        <f>Aurora_Output!AA70</f>
        <v>0</v>
      </c>
      <c r="AC53">
        <f>Aurora_Output!AB70</f>
        <v>0</v>
      </c>
      <c r="AD53">
        <f>Aurora_Output!AC70</f>
        <v>0</v>
      </c>
      <c r="AE53">
        <f>Aurora_Output!AD70</f>
        <v>0</v>
      </c>
      <c r="AF53">
        <f>Aurora_Output!AE70</f>
        <v>0</v>
      </c>
      <c r="AG53">
        <f>Aurora_Output!AF70</f>
        <v>0</v>
      </c>
      <c r="AH53">
        <f>Aurora_Output!AG70</f>
        <v>0</v>
      </c>
      <c r="AI53">
        <f>Aurora_Output!AH70</f>
        <v>0</v>
      </c>
      <c r="AJ53">
        <f>Aurora_Output!AI70</f>
        <v>0</v>
      </c>
      <c r="AK53">
        <f>Aurora_Output!AJ70</f>
        <v>0</v>
      </c>
      <c r="AL53">
        <f>Aurora_Output!AK70</f>
        <v>0</v>
      </c>
    </row>
    <row r="54" spans="1:38" x14ac:dyDescent="0.3">
      <c r="D54" s="222" t="s">
        <v>298</v>
      </c>
      <c r="E54" s="222"/>
      <c r="F54" s="222"/>
      <c r="G54" s="223">
        <f>SUM(G38:G53)</f>
        <v>750943.36165808071</v>
      </c>
      <c r="H54" s="84">
        <f>SUMPRODUCT($G$38:$G$53,H$38:H$53)</f>
        <v>513238.44362529379</v>
      </c>
      <c r="I54" s="85">
        <f t="shared" ref="I54:AB54" si="2">SUMPRODUCT($G$38:$G$53,I$38:I$53)</f>
        <v>388130.08449216688</v>
      </c>
      <c r="J54" s="85">
        <f t="shared" si="2"/>
        <v>625835.0025249538</v>
      </c>
      <c r="K54" s="85">
        <f t="shared" si="2"/>
        <v>389709.03186058794</v>
      </c>
      <c r="L54" s="85">
        <f t="shared" si="2"/>
        <v>388130.08449216688</v>
      </c>
      <c r="M54" s="85">
        <f t="shared" si="2"/>
        <v>388130.08449216688</v>
      </c>
      <c r="N54" s="85">
        <f t="shared" si="2"/>
        <v>388130.08449216688</v>
      </c>
      <c r="O54" s="85">
        <f t="shared" si="2"/>
        <v>389709.03186058794</v>
      </c>
      <c r="P54" s="85">
        <f t="shared" si="2"/>
        <v>388130.08449216688</v>
      </c>
      <c r="Q54" s="85">
        <f t="shared" si="2"/>
        <v>388130.08449216688</v>
      </c>
      <c r="R54" s="85">
        <f t="shared" si="2"/>
        <v>625835.0025249538</v>
      </c>
      <c r="S54" s="85">
        <f t="shared" si="2"/>
        <v>389709.03186058794</v>
      </c>
      <c r="T54" s="85">
        <f t="shared" si="2"/>
        <v>627413.94989337481</v>
      </c>
      <c r="U54" s="85">
        <f t="shared" si="2"/>
        <v>388130.08449216688</v>
      </c>
      <c r="V54" s="85">
        <f t="shared" si="2"/>
        <v>750943.36165808071</v>
      </c>
      <c r="W54" s="85">
        <f t="shared" si="2"/>
        <v>388130.08449216688</v>
      </c>
      <c r="X54" s="85">
        <f t="shared" si="2"/>
        <v>750943.36165808071</v>
      </c>
      <c r="Y54" s="85">
        <f t="shared" si="2"/>
        <v>0</v>
      </c>
      <c r="Z54" s="85">
        <f t="shared" si="2"/>
        <v>389709.03186058794</v>
      </c>
      <c r="AA54" s="85">
        <f t="shared" si="2"/>
        <v>388130.08449216688</v>
      </c>
      <c r="AB54" s="177">
        <f t="shared" si="2"/>
        <v>0</v>
      </c>
      <c r="AC54" s="177">
        <f>SUMPRODUCT($G$38:$G$53,AC$38:AC$53)</f>
        <v>0</v>
      </c>
      <c r="AD54" s="177"/>
      <c r="AE54" s="177"/>
      <c r="AF54" s="177"/>
      <c r="AG54" s="177"/>
      <c r="AH54" s="177"/>
      <c r="AI54" s="177"/>
      <c r="AJ54" s="177"/>
      <c r="AK54" s="177"/>
      <c r="AL54" s="177"/>
    </row>
    <row r="57" spans="1:38" x14ac:dyDescent="0.3">
      <c r="A57" s="65" t="s">
        <v>106</v>
      </c>
    </row>
    <row r="58" spans="1:38" x14ac:dyDescent="0.3">
      <c r="A58" t="s">
        <v>299</v>
      </c>
    </row>
    <row r="59" spans="1:38" x14ac:dyDescent="0.3">
      <c r="A59" t="s">
        <v>300</v>
      </c>
    </row>
    <row r="60" spans="1:38" x14ac:dyDescent="0.3">
      <c r="A60" s="96" t="s">
        <v>301</v>
      </c>
    </row>
  </sheetData>
  <pageMargins left="0.7" right="0.7" top="0.75" bottom="0.75" header="0.3" footer="0.3"/>
  <pageSetup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heetViews>
  <sheetFormatPr defaultRowHeight="14.4" x14ac:dyDescent="0.3"/>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O58"/>
  <sheetViews>
    <sheetView workbookViewId="0"/>
  </sheetViews>
  <sheetFormatPr defaultRowHeight="14.4" x14ac:dyDescent="0.3"/>
  <cols>
    <col min="1" max="1" width="9.109375" customWidth="1"/>
    <col min="2" max="2" width="41.109375" bestFit="1" customWidth="1"/>
    <col min="3" max="3" width="20.5546875" customWidth="1"/>
    <col min="4" max="4" width="22.33203125" customWidth="1"/>
    <col min="5" max="5" width="7.6640625" customWidth="1"/>
    <col min="6" max="7" width="16.88671875" customWidth="1"/>
    <col min="8" max="8" width="31.88671875" customWidth="1"/>
    <col min="9" max="9" width="15.33203125" customWidth="1"/>
    <col min="10" max="11" width="16.88671875" customWidth="1"/>
    <col min="13" max="13" width="34" customWidth="1"/>
    <col min="14" max="14" width="19.5546875" customWidth="1"/>
    <col min="15" max="15" width="10.6640625" customWidth="1"/>
  </cols>
  <sheetData>
    <row r="1" spans="1:15" ht="21" x14ac:dyDescent="0.4">
      <c r="A1" s="133" t="s">
        <v>302</v>
      </c>
    </row>
    <row r="2" spans="1:15" x14ac:dyDescent="0.3">
      <c r="A2" t="s">
        <v>303</v>
      </c>
      <c r="C2" s="127"/>
    </row>
    <row r="3" spans="1:15" x14ac:dyDescent="0.3">
      <c r="B3" s="127" t="s">
        <v>304</v>
      </c>
      <c r="C3" s="136" t="s">
        <v>115</v>
      </c>
    </row>
    <row r="4" spans="1:15" x14ac:dyDescent="0.3">
      <c r="B4" s="127" t="s">
        <v>305</v>
      </c>
      <c r="C4" s="136" t="s">
        <v>117</v>
      </c>
    </row>
    <row r="5" spans="1:15" x14ac:dyDescent="0.3">
      <c r="B5" s="127" t="s">
        <v>306</v>
      </c>
      <c r="C5" s="136" t="s">
        <v>121</v>
      </c>
    </row>
    <row r="6" spans="1:15" x14ac:dyDescent="0.3">
      <c r="B6" s="127" t="s">
        <v>307</v>
      </c>
      <c r="C6" s="127"/>
    </row>
    <row r="7" spans="1:15" x14ac:dyDescent="0.3">
      <c r="B7" s="127"/>
      <c r="C7" s="127"/>
    </row>
    <row r="8" spans="1:15" x14ac:dyDescent="0.3">
      <c r="A8" t="s">
        <v>308</v>
      </c>
    </row>
    <row r="9" spans="1:15" x14ac:dyDescent="0.3">
      <c r="B9" s="134"/>
      <c r="C9" t="s">
        <v>4</v>
      </c>
    </row>
    <row r="10" spans="1:15" x14ac:dyDescent="0.3">
      <c r="B10" s="135"/>
      <c r="C10" t="s">
        <v>5</v>
      </c>
    </row>
    <row r="13" spans="1:15" ht="15.6" x14ac:dyDescent="0.3">
      <c r="B13" s="114" t="s">
        <v>309</v>
      </c>
      <c r="F13" s="114" t="s">
        <v>310</v>
      </c>
      <c r="I13" s="114" t="s">
        <v>311</v>
      </c>
      <c r="M13" s="115" t="s">
        <v>312</v>
      </c>
    </row>
    <row r="14" spans="1:15" ht="43.2" x14ac:dyDescent="0.3">
      <c r="B14" s="42" t="s">
        <v>313</v>
      </c>
      <c r="C14" s="40" t="s">
        <v>314</v>
      </c>
      <c r="D14" s="40" t="s">
        <v>315</v>
      </c>
      <c r="E14" s="4"/>
      <c r="F14" s="42" t="s">
        <v>316</v>
      </c>
      <c r="G14" s="42" t="s">
        <v>317</v>
      </c>
      <c r="I14" s="42" t="s">
        <v>313</v>
      </c>
      <c r="J14" s="40" t="s">
        <v>318</v>
      </c>
      <c r="K14" s="40" t="s">
        <v>319</v>
      </c>
      <c r="M14" s="42" t="s">
        <v>320</v>
      </c>
      <c r="N14" s="40" t="s">
        <v>321</v>
      </c>
      <c r="O14" s="42" t="s">
        <v>319</v>
      </c>
    </row>
    <row r="15" spans="1:15" x14ac:dyDescent="0.3">
      <c r="B15" s="35" t="s">
        <v>322</v>
      </c>
      <c r="C15" s="128">
        <v>1695.3</v>
      </c>
      <c r="D15" s="125" t="s">
        <v>323</v>
      </c>
      <c r="F15" s="35" t="s">
        <v>324</v>
      </c>
      <c r="G15" s="129">
        <v>333887</v>
      </c>
      <c r="I15" s="35" t="s">
        <v>324</v>
      </c>
      <c r="J15" s="95">
        <f>SUMIF($D$15:$D$43,F15,$C$15:$C$43)</f>
        <v>61714.100000000079</v>
      </c>
      <c r="K15" s="130">
        <f t="shared" ref="K15:K20" si="0">G15/J15</f>
        <v>5.4102222992800604</v>
      </c>
      <c r="M15" s="64" t="s">
        <v>181</v>
      </c>
      <c r="N15" s="35" t="s">
        <v>325</v>
      </c>
      <c r="O15" s="91">
        <f>INDEX($I$15:$K$28,MATCH(N15,$I$15:$I$28,0),3)</f>
        <v>0.1997271973206857</v>
      </c>
    </row>
    <row r="16" spans="1:15" x14ac:dyDescent="0.3">
      <c r="B16" s="35" t="s">
        <v>326</v>
      </c>
      <c r="C16" s="128">
        <v>4725.5</v>
      </c>
      <c r="D16" s="125" t="s">
        <v>327</v>
      </c>
      <c r="F16" s="35" t="s">
        <v>328</v>
      </c>
      <c r="G16" s="129">
        <v>120164</v>
      </c>
      <c r="I16" s="35" t="s">
        <v>328</v>
      </c>
      <c r="J16" s="95">
        <f>SUMIF($D$15:$D$43,F16,$C$15:$C$43)</f>
        <v>133408.39999999997</v>
      </c>
      <c r="K16" s="130">
        <f t="shared" si="0"/>
        <v>0.90072289301123487</v>
      </c>
      <c r="M16" s="64" t="s">
        <v>183</v>
      </c>
      <c r="N16" s="35" t="s">
        <v>325</v>
      </c>
      <c r="O16" s="91">
        <f t="shared" ref="O16:O47" si="1">INDEX($I$15:$K$28,MATCH(N16,$I$15:$I$28,0),3)</f>
        <v>0.1997271973206857</v>
      </c>
    </row>
    <row r="17" spans="2:15" x14ac:dyDescent="0.3">
      <c r="B17" s="35" t="s">
        <v>329</v>
      </c>
      <c r="C17" s="128">
        <v>997.4</v>
      </c>
      <c r="D17" s="125" t="s">
        <v>330</v>
      </c>
      <c r="F17" s="35" t="s">
        <v>330</v>
      </c>
      <c r="G17" s="129">
        <v>70831</v>
      </c>
      <c r="I17" s="35" t="s">
        <v>330</v>
      </c>
      <c r="J17" s="95">
        <f t="shared" ref="J17:J26" si="2">SUMIF($D$15:$D$43,F17,$C$15:$C$43)</f>
        <v>228026.49999999994</v>
      </c>
      <c r="K17" s="130">
        <f t="shared" si="0"/>
        <v>0.31062617722063013</v>
      </c>
      <c r="M17" s="64" t="s">
        <v>184</v>
      </c>
      <c r="N17" s="35" t="s">
        <v>325</v>
      </c>
      <c r="O17" s="91">
        <f t="shared" si="1"/>
        <v>0.1997271973206857</v>
      </c>
    </row>
    <row r="18" spans="2:15" x14ac:dyDescent="0.3">
      <c r="B18" s="35" t="s">
        <v>331</v>
      </c>
      <c r="C18" s="128">
        <v>79985.800000000309</v>
      </c>
      <c r="D18" s="125" t="s">
        <v>332</v>
      </c>
      <c r="F18" s="35" t="s">
        <v>325</v>
      </c>
      <c r="G18" s="129">
        <f>69113+42083</f>
        <v>111196</v>
      </c>
      <c r="I18" s="35" t="s">
        <v>325</v>
      </c>
      <c r="J18" s="95">
        <f t="shared" si="2"/>
        <v>556739.39999999921</v>
      </c>
      <c r="K18" s="130">
        <f t="shared" si="0"/>
        <v>0.1997271973206857</v>
      </c>
      <c r="M18" s="64" t="s">
        <v>185</v>
      </c>
      <c r="N18" s="35" t="s">
        <v>325</v>
      </c>
      <c r="O18" s="91">
        <f t="shared" si="1"/>
        <v>0.1997271973206857</v>
      </c>
    </row>
    <row r="19" spans="2:15" x14ac:dyDescent="0.3">
      <c r="B19" s="35" t="s">
        <v>333</v>
      </c>
      <c r="C19" s="128">
        <v>227029.09999999995</v>
      </c>
      <c r="D19" s="125" t="s">
        <v>330</v>
      </c>
      <c r="F19" s="35" t="s">
        <v>75</v>
      </c>
      <c r="G19" s="129">
        <v>55562</v>
      </c>
      <c r="I19" s="35" t="s">
        <v>75</v>
      </c>
      <c r="J19" s="95">
        <f t="shared" si="2"/>
        <v>99960.299999999988</v>
      </c>
      <c r="K19" s="130">
        <f t="shared" si="0"/>
        <v>0.55584066874549198</v>
      </c>
      <c r="M19" s="64" t="s">
        <v>186</v>
      </c>
      <c r="N19" s="35" t="s">
        <v>325</v>
      </c>
      <c r="O19" s="91">
        <f t="shared" si="1"/>
        <v>0.1997271973206857</v>
      </c>
    </row>
    <row r="20" spans="2:15" x14ac:dyDescent="0.3">
      <c r="B20" s="35" t="s">
        <v>334</v>
      </c>
      <c r="C20" s="128">
        <v>47</v>
      </c>
      <c r="D20" s="125" t="s">
        <v>323</v>
      </c>
      <c r="F20" s="35" t="s">
        <v>332</v>
      </c>
      <c r="G20" s="129">
        <f>53029+11485</f>
        <v>64514</v>
      </c>
      <c r="I20" s="35" t="s">
        <v>332</v>
      </c>
      <c r="J20" s="95">
        <f t="shared" si="2"/>
        <v>79985.800000000309</v>
      </c>
      <c r="K20" s="130">
        <f t="shared" si="0"/>
        <v>0.80656816584943514</v>
      </c>
      <c r="M20" s="64" t="s">
        <v>187</v>
      </c>
      <c r="N20" s="35" t="s">
        <v>325</v>
      </c>
      <c r="O20" s="91">
        <f t="shared" si="1"/>
        <v>0.1997271973206857</v>
      </c>
    </row>
    <row r="21" spans="2:15" x14ac:dyDescent="0.3">
      <c r="B21" s="35" t="s">
        <v>335</v>
      </c>
      <c r="C21" s="128">
        <v>3889.4000000000005</v>
      </c>
      <c r="D21" s="125" t="s">
        <v>335</v>
      </c>
      <c r="F21" s="35" t="s">
        <v>336</v>
      </c>
      <c r="G21" s="129">
        <v>29103</v>
      </c>
      <c r="I21" s="35" t="s">
        <v>336</v>
      </c>
      <c r="J21" s="95">
        <f>SUMIF($D$15:$D$43,F21,$C$15:$C$43)</f>
        <v>0</v>
      </c>
      <c r="K21" s="131" t="s">
        <v>154</v>
      </c>
      <c r="M21" s="64" t="s">
        <v>188</v>
      </c>
      <c r="N21" s="35" t="s">
        <v>328</v>
      </c>
      <c r="O21" s="91">
        <f t="shared" si="1"/>
        <v>0.90072289301123487</v>
      </c>
    </row>
    <row r="22" spans="2:15" x14ac:dyDescent="0.3">
      <c r="B22" s="35" t="s">
        <v>337</v>
      </c>
      <c r="C22" s="128">
        <v>22008.1</v>
      </c>
      <c r="D22" s="125" t="s">
        <v>338</v>
      </c>
      <c r="F22" s="35" t="s">
        <v>339</v>
      </c>
      <c r="G22" s="129">
        <v>12388</v>
      </c>
      <c r="I22" s="35" t="s">
        <v>339</v>
      </c>
      <c r="J22" s="95">
        <f t="shared" si="2"/>
        <v>14410.699999999948</v>
      </c>
      <c r="K22" s="130">
        <f t="shared" ref="K22:K28" si="3">G22/J22</f>
        <v>0.85963901822951316</v>
      </c>
      <c r="M22" s="64" t="s">
        <v>189</v>
      </c>
      <c r="N22" s="35" t="s">
        <v>328</v>
      </c>
      <c r="O22" s="91">
        <f t="shared" si="1"/>
        <v>0.90072289301123487</v>
      </c>
    </row>
    <row r="23" spans="2:15" x14ac:dyDescent="0.3">
      <c r="B23" s="35" t="s">
        <v>340</v>
      </c>
      <c r="C23" s="128">
        <v>1901.8999999999533</v>
      </c>
      <c r="D23" s="125" t="s">
        <v>339</v>
      </c>
      <c r="F23" s="35" t="s">
        <v>323</v>
      </c>
      <c r="G23" s="129">
        <v>39972</v>
      </c>
      <c r="I23" s="35" t="s">
        <v>323</v>
      </c>
      <c r="J23" s="95">
        <f t="shared" si="2"/>
        <v>4015.3000000000011</v>
      </c>
      <c r="K23" s="130">
        <f t="shared" si="3"/>
        <v>9.9549224217368533</v>
      </c>
      <c r="M23" s="64" t="s">
        <v>190</v>
      </c>
      <c r="N23" s="35" t="s">
        <v>328</v>
      </c>
      <c r="O23" s="91">
        <f t="shared" si="1"/>
        <v>0.90072289301123487</v>
      </c>
    </row>
    <row r="24" spans="2:15" x14ac:dyDescent="0.3">
      <c r="B24" s="35" t="s">
        <v>341</v>
      </c>
      <c r="C24" s="128">
        <v>2539.6</v>
      </c>
      <c r="D24" s="125" t="s">
        <v>339</v>
      </c>
      <c r="F24" s="35" t="s">
        <v>342</v>
      </c>
      <c r="G24" s="129">
        <v>11741</v>
      </c>
      <c r="I24" s="35" t="s">
        <v>342</v>
      </c>
      <c r="J24" s="95">
        <f t="shared" si="2"/>
        <v>32578.199999999269</v>
      </c>
      <c r="K24" s="130">
        <f t="shared" si="3"/>
        <v>0.36039437415204839</v>
      </c>
      <c r="M24" s="64" t="s">
        <v>191</v>
      </c>
      <c r="N24" s="35" t="s">
        <v>328</v>
      </c>
      <c r="O24" s="91">
        <f t="shared" si="1"/>
        <v>0.90072289301123487</v>
      </c>
    </row>
    <row r="25" spans="2:15" x14ac:dyDescent="0.3">
      <c r="B25" s="35" t="s">
        <v>343</v>
      </c>
      <c r="C25" s="128">
        <v>314009.60000000003</v>
      </c>
      <c r="D25" s="125" t="s">
        <v>325</v>
      </c>
      <c r="F25" s="35" t="s">
        <v>335</v>
      </c>
      <c r="G25" s="129">
        <v>8222</v>
      </c>
      <c r="I25" s="35" t="s">
        <v>335</v>
      </c>
      <c r="J25" s="95">
        <f t="shared" si="2"/>
        <v>3889.4000000000005</v>
      </c>
      <c r="K25" s="130">
        <f t="shared" si="3"/>
        <v>2.1139507379030182</v>
      </c>
      <c r="M25" s="64" t="s">
        <v>192</v>
      </c>
      <c r="N25" s="35" t="s">
        <v>328</v>
      </c>
      <c r="O25" s="91">
        <f t="shared" si="1"/>
        <v>0.90072289301123487</v>
      </c>
    </row>
    <row r="26" spans="2:15" x14ac:dyDescent="0.3">
      <c r="B26" s="35" t="s">
        <v>344</v>
      </c>
      <c r="C26" s="128">
        <v>157412.49999999924</v>
      </c>
      <c r="D26" s="125" t="s">
        <v>325</v>
      </c>
      <c r="F26" s="35" t="s">
        <v>327</v>
      </c>
      <c r="G26" s="129">
        <v>69698</v>
      </c>
      <c r="I26" s="35" t="s">
        <v>327</v>
      </c>
      <c r="J26" s="95">
        <f t="shared" si="2"/>
        <v>4725.5</v>
      </c>
      <c r="K26" s="130">
        <f t="shared" si="3"/>
        <v>14.749338694318062</v>
      </c>
      <c r="M26" s="64" t="s">
        <v>193</v>
      </c>
      <c r="N26" s="35" t="s">
        <v>328</v>
      </c>
      <c r="O26" s="91">
        <f t="shared" si="1"/>
        <v>0.90072289301123487</v>
      </c>
    </row>
    <row r="27" spans="2:15" x14ac:dyDescent="0.3">
      <c r="B27" s="35" t="s">
        <v>345</v>
      </c>
      <c r="C27" s="128">
        <v>5420.7999999999338</v>
      </c>
      <c r="D27" s="125" t="s">
        <v>325</v>
      </c>
      <c r="F27" s="35" t="s">
        <v>338</v>
      </c>
      <c r="G27" s="129">
        <v>7901</v>
      </c>
      <c r="I27" s="35" t="s">
        <v>338</v>
      </c>
      <c r="J27" s="95">
        <f>SUMIF($D$15:$D$43,F27,$C$15:$C$43)</f>
        <v>22008.1</v>
      </c>
      <c r="K27" s="130">
        <f t="shared" si="3"/>
        <v>0.35900418482286067</v>
      </c>
      <c r="M27" s="64" t="s">
        <v>194</v>
      </c>
      <c r="N27" s="35" t="s">
        <v>328</v>
      </c>
      <c r="O27" s="91">
        <f t="shared" si="1"/>
        <v>0.90072289301123487</v>
      </c>
    </row>
    <row r="28" spans="2:15" x14ac:dyDescent="0.3">
      <c r="B28" s="35" t="s">
        <v>346</v>
      </c>
      <c r="C28" s="128">
        <v>79482.499999999971</v>
      </c>
      <c r="D28" s="125" t="s">
        <v>325</v>
      </c>
      <c r="F28" s="35" t="s">
        <v>347</v>
      </c>
      <c r="G28" s="129">
        <v>2164914</v>
      </c>
      <c r="I28" s="35" t="s">
        <v>347</v>
      </c>
      <c r="J28" s="95">
        <f>SUMIF($D$15:$D$43,F28,$C$15:$C$43)</f>
        <v>35756.711000000003</v>
      </c>
      <c r="K28" s="130">
        <f t="shared" si="3"/>
        <v>60.545669315055285</v>
      </c>
      <c r="M28" s="64" t="s">
        <v>195</v>
      </c>
      <c r="N28" s="35" t="s">
        <v>328</v>
      </c>
      <c r="O28" s="91">
        <f t="shared" si="1"/>
        <v>0.90072289301123487</v>
      </c>
    </row>
    <row r="29" spans="2:15" x14ac:dyDescent="0.3">
      <c r="B29" s="35" t="s">
        <v>348</v>
      </c>
      <c r="C29" s="128">
        <v>110</v>
      </c>
      <c r="D29" s="125" t="s">
        <v>325</v>
      </c>
      <c r="F29" s="126" t="s">
        <v>106</v>
      </c>
      <c r="G29" s="21"/>
      <c r="J29" s="132"/>
      <c r="K29" s="21"/>
      <c r="M29" s="64" t="s">
        <v>196</v>
      </c>
      <c r="N29" s="35" t="s">
        <v>324</v>
      </c>
      <c r="O29" s="91">
        <f t="shared" si="1"/>
        <v>5.4102222992800604</v>
      </c>
    </row>
    <row r="30" spans="2:15" x14ac:dyDescent="0.3">
      <c r="B30" s="35" t="s">
        <v>75</v>
      </c>
      <c r="C30" s="128">
        <v>99960.299999999988</v>
      </c>
      <c r="D30" s="125" t="s">
        <v>75</v>
      </c>
      <c r="F30" s="127" t="s">
        <v>349</v>
      </c>
      <c r="M30" s="64" t="s">
        <v>197</v>
      </c>
      <c r="N30" s="35" t="s">
        <v>324</v>
      </c>
      <c r="O30" s="91">
        <f t="shared" si="1"/>
        <v>5.4102222992800604</v>
      </c>
    </row>
    <row r="31" spans="2:15" x14ac:dyDescent="0.3">
      <c r="B31" s="35" t="s">
        <v>350</v>
      </c>
      <c r="C31" s="128">
        <v>42</v>
      </c>
      <c r="D31" s="125" t="s">
        <v>328</v>
      </c>
      <c r="F31" s="127" t="s">
        <v>351</v>
      </c>
      <c r="M31" s="64" t="s">
        <v>198</v>
      </c>
      <c r="N31" s="35" t="s">
        <v>324</v>
      </c>
      <c r="O31" s="91">
        <f t="shared" si="1"/>
        <v>5.4102222992800604</v>
      </c>
    </row>
    <row r="32" spans="2:15" x14ac:dyDescent="0.3">
      <c r="B32" s="35" t="s">
        <v>352</v>
      </c>
      <c r="C32" s="128">
        <v>133366.39999999997</v>
      </c>
      <c r="D32" s="125" t="s">
        <v>328</v>
      </c>
      <c r="F32" s="127" t="s">
        <v>353</v>
      </c>
      <c r="M32" s="64" t="s">
        <v>199</v>
      </c>
      <c r="N32" s="35" t="s">
        <v>324</v>
      </c>
      <c r="O32" s="91">
        <f t="shared" si="1"/>
        <v>5.4102222992800604</v>
      </c>
    </row>
    <row r="33" spans="2:15" x14ac:dyDescent="0.3">
      <c r="B33" s="35" t="s">
        <v>354</v>
      </c>
      <c r="C33" s="128">
        <v>2273.0000000000009</v>
      </c>
      <c r="D33" s="125" t="s">
        <v>323</v>
      </c>
      <c r="M33" s="64" t="s">
        <v>200</v>
      </c>
      <c r="N33" s="35" t="s">
        <v>324</v>
      </c>
      <c r="O33" s="91">
        <f t="shared" si="1"/>
        <v>5.4102222992800604</v>
      </c>
    </row>
    <row r="34" spans="2:15" x14ac:dyDescent="0.3">
      <c r="B34" s="35" t="s">
        <v>355</v>
      </c>
      <c r="C34" s="128">
        <v>304</v>
      </c>
      <c r="D34" s="125" t="s">
        <v>325</v>
      </c>
      <c r="M34" s="64" t="s">
        <v>201</v>
      </c>
      <c r="N34" s="35" t="s">
        <v>328</v>
      </c>
      <c r="O34" s="91">
        <f t="shared" si="1"/>
        <v>0.90072289301123487</v>
      </c>
    </row>
    <row r="35" spans="2:15" x14ac:dyDescent="0.3">
      <c r="B35" s="35" t="s">
        <v>356</v>
      </c>
      <c r="C35" s="128">
        <v>690.10000000000014</v>
      </c>
      <c r="D35" s="125" t="s">
        <v>339</v>
      </c>
      <c r="M35" s="64" t="s">
        <v>202</v>
      </c>
      <c r="N35" s="41" t="s">
        <v>324</v>
      </c>
      <c r="O35" s="91">
        <f t="shared" si="1"/>
        <v>5.4102222992800604</v>
      </c>
    </row>
    <row r="36" spans="2:15" x14ac:dyDescent="0.3">
      <c r="B36" s="35" t="s">
        <v>357</v>
      </c>
      <c r="C36" s="128">
        <v>1638.6999999999998</v>
      </c>
      <c r="D36" s="125" t="s">
        <v>342</v>
      </c>
      <c r="M36" s="64" t="s">
        <v>203</v>
      </c>
      <c r="N36" s="35" t="s">
        <v>327</v>
      </c>
      <c r="O36" s="91">
        <f t="shared" si="1"/>
        <v>14.749338694318062</v>
      </c>
    </row>
    <row r="37" spans="2:15" x14ac:dyDescent="0.3">
      <c r="B37" s="35" t="s">
        <v>358</v>
      </c>
      <c r="C37" s="128">
        <v>30939.499999999269</v>
      </c>
      <c r="D37" s="125" t="s">
        <v>342</v>
      </c>
      <c r="M37" s="64" t="s">
        <v>204</v>
      </c>
      <c r="N37" s="35" t="s">
        <v>327</v>
      </c>
      <c r="O37" s="91">
        <f t="shared" si="1"/>
        <v>14.749338694318062</v>
      </c>
    </row>
    <row r="38" spans="2:15" x14ac:dyDescent="0.3">
      <c r="B38" s="35" t="s">
        <v>359</v>
      </c>
      <c r="C38" s="128">
        <v>60217.100000000079</v>
      </c>
      <c r="D38" s="125" t="s">
        <v>324</v>
      </c>
      <c r="M38" s="64" t="s">
        <v>205</v>
      </c>
      <c r="N38" s="35" t="s">
        <v>327</v>
      </c>
      <c r="O38" s="91">
        <f t="shared" si="1"/>
        <v>14.749338694318062</v>
      </c>
    </row>
    <row r="39" spans="2:15" x14ac:dyDescent="0.3">
      <c r="B39" s="35" t="s">
        <v>360</v>
      </c>
      <c r="C39" s="128">
        <v>405</v>
      </c>
      <c r="D39" s="125" t="s">
        <v>324</v>
      </c>
      <c r="M39" s="64" t="s">
        <v>206</v>
      </c>
      <c r="N39" s="35" t="s">
        <v>361</v>
      </c>
      <c r="O39" s="91">
        <f t="shared" si="1"/>
        <v>0.35900418482286067</v>
      </c>
    </row>
    <row r="40" spans="2:15" x14ac:dyDescent="0.3">
      <c r="B40" s="35" t="s">
        <v>362</v>
      </c>
      <c r="C40" s="128">
        <v>1092</v>
      </c>
      <c r="D40" s="125" t="s">
        <v>324</v>
      </c>
      <c r="M40" s="64" t="s">
        <v>207</v>
      </c>
      <c r="N40" s="35" t="s">
        <v>361</v>
      </c>
      <c r="O40" s="91">
        <f t="shared" si="1"/>
        <v>0.35900418482286067</v>
      </c>
    </row>
    <row r="41" spans="2:15" x14ac:dyDescent="0.3">
      <c r="B41" s="35" t="s">
        <v>363</v>
      </c>
      <c r="C41" s="128">
        <v>9279.0999999999949</v>
      </c>
      <c r="D41" s="125" t="s">
        <v>339</v>
      </c>
      <c r="M41" s="64" t="s">
        <v>208</v>
      </c>
      <c r="N41" s="35" t="s">
        <v>327</v>
      </c>
      <c r="O41" s="91">
        <f t="shared" si="1"/>
        <v>14.749338694318062</v>
      </c>
    </row>
    <row r="42" spans="2:15" ht="16.2" x14ac:dyDescent="0.3">
      <c r="B42" s="35" t="s">
        <v>364</v>
      </c>
      <c r="C42" s="128">
        <v>6286.5229999999983</v>
      </c>
      <c r="D42" s="125" t="s">
        <v>347</v>
      </c>
      <c r="M42" s="64" t="s">
        <v>209</v>
      </c>
      <c r="N42" s="35" t="s">
        <v>365</v>
      </c>
      <c r="O42" s="91">
        <f t="shared" si="1"/>
        <v>0.90072289301123487</v>
      </c>
    </row>
    <row r="43" spans="2:15" ht="16.2" x14ac:dyDescent="0.3">
      <c r="B43" s="35" t="s">
        <v>366</v>
      </c>
      <c r="C43" s="128">
        <v>29470.188000000002</v>
      </c>
      <c r="D43" s="125" t="s">
        <v>347</v>
      </c>
      <c r="M43" s="64" t="s">
        <v>210</v>
      </c>
      <c r="N43" s="35" t="s">
        <v>324</v>
      </c>
      <c r="O43" s="91">
        <f t="shared" si="1"/>
        <v>5.4102222992800604</v>
      </c>
    </row>
    <row r="44" spans="2:15" x14ac:dyDescent="0.3">
      <c r="B44" s="4" t="s">
        <v>106</v>
      </c>
      <c r="M44" s="64" t="s">
        <v>211</v>
      </c>
      <c r="N44" s="35" t="s">
        <v>324</v>
      </c>
      <c r="O44" s="91">
        <f t="shared" si="1"/>
        <v>5.4102222992800604</v>
      </c>
    </row>
    <row r="45" spans="2:15" x14ac:dyDescent="0.3">
      <c r="B45" s="127" t="s">
        <v>367</v>
      </c>
      <c r="M45" s="64" t="s">
        <v>212</v>
      </c>
      <c r="N45" s="35" t="s">
        <v>368</v>
      </c>
      <c r="O45" s="91">
        <f t="shared" si="1"/>
        <v>0.85963901822951316</v>
      </c>
    </row>
    <row r="46" spans="2:15" x14ac:dyDescent="0.3">
      <c r="C46" s="3"/>
      <c r="M46" s="64" t="s">
        <v>213</v>
      </c>
      <c r="N46" s="35" t="s">
        <v>369</v>
      </c>
      <c r="O46" s="91">
        <f t="shared" si="1"/>
        <v>0.55584066874549198</v>
      </c>
    </row>
    <row r="47" spans="2:15" x14ac:dyDescent="0.3">
      <c r="M47" s="64" t="s">
        <v>214</v>
      </c>
      <c r="N47" s="35" t="s">
        <v>365</v>
      </c>
      <c r="O47" s="91">
        <f t="shared" si="1"/>
        <v>0.90072289301123487</v>
      </c>
    </row>
    <row r="48" spans="2:15" x14ac:dyDescent="0.3">
      <c r="M48" s="64" t="s">
        <v>215</v>
      </c>
      <c r="N48" s="35" t="s">
        <v>324</v>
      </c>
      <c r="O48" s="91">
        <f t="shared" ref="O48:O58" si="4">INDEX($I$15:$K$28,MATCH(N48,$I$15:$I$28,0),3)</f>
        <v>5.4102222992800604</v>
      </c>
    </row>
    <row r="49" spans="13:15" x14ac:dyDescent="0.3">
      <c r="M49" s="64" t="s">
        <v>216</v>
      </c>
      <c r="N49" s="35" t="s">
        <v>324</v>
      </c>
      <c r="O49" s="91">
        <f t="shared" si="4"/>
        <v>5.4102222992800604</v>
      </c>
    </row>
    <row r="50" spans="13:15" x14ac:dyDescent="0.3">
      <c r="M50" s="64" t="s">
        <v>217</v>
      </c>
      <c r="N50" s="35" t="s">
        <v>324</v>
      </c>
      <c r="O50" s="91">
        <f t="shared" si="4"/>
        <v>5.4102222992800604</v>
      </c>
    </row>
    <row r="51" spans="13:15" x14ac:dyDescent="0.3">
      <c r="M51" s="64" t="s">
        <v>218</v>
      </c>
      <c r="N51" s="35" t="s">
        <v>327</v>
      </c>
      <c r="O51" s="91">
        <f t="shared" si="4"/>
        <v>14.749338694318062</v>
      </c>
    </row>
    <row r="52" spans="13:15" x14ac:dyDescent="0.3">
      <c r="M52" s="64" t="s">
        <v>219</v>
      </c>
      <c r="N52" s="35" t="s">
        <v>347</v>
      </c>
      <c r="O52" s="91">
        <f t="shared" si="4"/>
        <v>60.545669315055285</v>
      </c>
    </row>
    <row r="53" spans="13:15" x14ac:dyDescent="0.3">
      <c r="M53" s="64" t="s">
        <v>220</v>
      </c>
      <c r="N53" s="35" t="s">
        <v>347</v>
      </c>
      <c r="O53" s="91">
        <f t="shared" si="4"/>
        <v>60.545669315055285</v>
      </c>
    </row>
    <row r="54" spans="13:15" x14ac:dyDescent="0.3">
      <c r="M54" s="64" t="s">
        <v>221</v>
      </c>
      <c r="N54" s="35" t="s">
        <v>347</v>
      </c>
      <c r="O54" s="91">
        <f t="shared" si="4"/>
        <v>60.545669315055285</v>
      </c>
    </row>
    <row r="55" spans="13:15" x14ac:dyDescent="0.3">
      <c r="M55" s="64" t="s">
        <v>222</v>
      </c>
      <c r="N55" s="35" t="s">
        <v>347</v>
      </c>
      <c r="O55" s="91">
        <f t="shared" si="4"/>
        <v>60.545669315055285</v>
      </c>
    </row>
    <row r="56" spans="13:15" x14ac:dyDescent="0.3">
      <c r="M56" s="64" t="s">
        <v>223</v>
      </c>
      <c r="N56" s="35" t="s">
        <v>347</v>
      </c>
      <c r="O56" s="91">
        <f t="shared" si="4"/>
        <v>60.545669315055285</v>
      </c>
    </row>
    <row r="57" spans="13:15" x14ac:dyDescent="0.3">
      <c r="M57" s="64" t="s">
        <v>224</v>
      </c>
      <c r="N57" s="35" t="s">
        <v>324</v>
      </c>
      <c r="O57" s="91">
        <f t="shared" si="4"/>
        <v>5.4102222992800604</v>
      </c>
    </row>
    <row r="58" spans="13:15" x14ac:dyDescent="0.3">
      <c r="M58" s="64" t="s">
        <v>225</v>
      </c>
      <c r="N58" s="35" t="s">
        <v>327</v>
      </c>
      <c r="O58" s="91">
        <f t="shared" si="4"/>
        <v>14.749338694318062</v>
      </c>
    </row>
  </sheetData>
  <dataValidations count="1">
    <dataValidation type="list" allowBlank="1" showInputMessage="1" showErrorMessage="1" sqref="D15:E44 N15:N58">
      <formula1>$F$15:$F$28</formula1>
    </dataValidation>
  </dataValidations>
  <hyperlinks>
    <hyperlink ref="C5" r:id="rId1" display="https://www.energy.gov/sites/default/files/2022-06/USEER 2022 National Report_1.pdf"/>
    <hyperlink ref="C3" r:id="rId2" display="https://www.eia.gov/electricity/data/eia860/"/>
    <hyperlink ref="C4" r:id="rId3" display="https://www.eia.gov/electricity/data/eia861/"/>
  </hyperlinks>
  <pageMargins left="0.7" right="0.7" top="0.75" bottom="0.75" header="0.3" footer="0.3"/>
  <pageSetup orientation="portrait" horizontalDpi="90" verticalDpi="90" r:id="rId4"/>
  <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24"/>
  <sheetViews>
    <sheetView tabSelected="1" workbookViewId="0">
      <selection activeCell="G26" sqref="G26"/>
    </sheetView>
  </sheetViews>
  <sheetFormatPr defaultRowHeight="14.4" x14ac:dyDescent="0.3"/>
  <cols>
    <col min="1" max="1" width="22" customWidth="1"/>
    <col min="2" max="2" width="34.109375" style="11" customWidth="1"/>
    <col min="3" max="10" width="15.44140625" customWidth="1"/>
    <col min="11" max="11" width="16.88671875" customWidth="1"/>
    <col min="12" max="12" width="9.33203125" bestFit="1" customWidth="1"/>
    <col min="13" max="17" width="17.88671875" customWidth="1"/>
    <col min="18" max="22" width="14.88671875" customWidth="1"/>
    <col min="23" max="23" width="11" bestFit="1" customWidth="1"/>
    <col min="24" max="24" width="11.5546875" bestFit="1" customWidth="1"/>
    <col min="25" max="25" width="9.44140625" bestFit="1" customWidth="1"/>
    <col min="26" max="26" width="14.109375" bestFit="1" customWidth="1"/>
    <col min="27" max="27" width="5.44140625" bestFit="1" customWidth="1"/>
    <col min="28" max="28" width="11" bestFit="1" customWidth="1"/>
    <col min="29" max="29" width="11.5546875" bestFit="1" customWidth="1"/>
    <col min="30" max="30" width="9.44140625" bestFit="1" customWidth="1"/>
    <col min="31" max="31" width="14.109375" bestFit="1" customWidth="1"/>
    <col min="32" max="32" width="5.5546875" bestFit="1" customWidth="1"/>
    <col min="33" max="87" width="14.88671875" customWidth="1"/>
  </cols>
  <sheetData>
    <row r="1" spans="1:87" ht="15.6" x14ac:dyDescent="0.3">
      <c r="A1" s="115" t="s">
        <v>370</v>
      </c>
    </row>
    <row r="2" spans="1:87" x14ac:dyDescent="0.3">
      <c r="A2" s="7" t="s">
        <v>371</v>
      </c>
    </row>
    <row r="3" spans="1:87" x14ac:dyDescent="0.3">
      <c r="A3" s="7" t="s">
        <v>372</v>
      </c>
      <c r="B3" s="195"/>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c r="BM3" s="116"/>
      <c r="BN3" s="116"/>
      <c r="BO3" s="116"/>
      <c r="BP3" s="116"/>
      <c r="BQ3" s="116"/>
      <c r="BR3" s="116"/>
      <c r="BS3" s="116"/>
      <c r="BT3" s="116"/>
      <c r="CD3" s="116"/>
      <c r="CE3" s="116"/>
      <c r="CF3" s="116"/>
      <c r="CG3" s="116"/>
      <c r="CH3" s="116"/>
      <c r="CI3" s="116"/>
    </row>
    <row r="4" spans="1:87" x14ac:dyDescent="0.3">
      <c r="A4" s="283" t="s">
        <v>373</v>
      </c>
      <c r="B4" s="284"/>
      <c r="C4" s="284"/>
      <c r="D4" s="284"/>
      <c r="E4" s="284"/>
      <c r="F4" s="285"/>
      <c r="G4" s="289" t="s">
        <v>374</v>
      </c>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1"/>
      <c r="AQ4" s="274" t="s">
        <v>328</v>
      </c>
      <c r="AR4" s="275"/>
      <c r="AS4" s="275"/>
      <c r="AT4" s="275"/>
      <c r="AU4" s="275"/>
      <c r="AV4" s="275"/>
      <c r="AW4" s="275"/>
      <c r="AX4" s="275"/>
      <c r="AY4" s="275"/>
      <c r="AZ4" s="275"/>
      <c r="BA4" s="275"/>
      <c r="BB4" s="275"/>
      <c r="BC4" s="275"/>
      <c r="BD4" s="275"/>
      <c r="BE4" s="276"/>
      <c r="BF4" s="277" t="s">
        <v>323</v>
      </c>
      <c r="BG4" s="278"/>
      <c r="BH4" s="278"/>
      <c r="BI4" s="278"/>
      <c r="BJ4" s="278"/>
      <c r="BK4" s="278"/>
      <c r="BL4" s="278"/>
      <c r="BM4" s="278"/>
      <c r="BN4" s="278"/>
      <c r="BO4" s="278"/>
      <c r="BP4" s="278"/>
      <c r="BQ4" s="278"/>
      <c r="BR4" s="278"/>
      <c r="BS4" s="278"/>
      <c r="BT4" s="279"/>
      <c r="BU4" s="280" t="s">
        <v>375</v>
      </c>
      <c r="BV4" s="281"/>
      <c r="BW4" s="281"/>
      <c r="BX4" s="281"/>
      <c r="BY4" s="281"/>
      <c r="BZ4" s="281"/>
      <c r="CA4" s="281"/>
      <c r="CB4" s="281"/>
      <c r="CC4" s="281"/>
      <c r="CD4" s="281"/>
      <c r="CE4" s="281"/>
      <c r="CF4" s="281"/>
      <c r="CG4" s="281"/>
      <c r="CH4" s="281"/>
      <c r="CI4" s="282"/>
    </row>
    <row r="5" spans="1:87" x14ac:dyDescent="0.3">
      <c r="A5" s="283" t="s">
        <v>376</v>
      </c>
      <c r="B5" s="284"/>
      <c r="C5" s="284"/>
      <c r="D5" s="284"/>
      <c r="E5" s="284"/>
      <c r="F5" s="285"/>
      <c r="G5" s="286" t="s">
        <v>377</v>
      </c>
      <c r="H5" s="287"/>
      <c r="I5" s="287"/>
      <c r="J5" s="287"/>
      <c r="K5" s="287"/>
      <c r="L5" s="288"/>
      <c r="M5" s="286" t="s">
        <v>378</v>
      </c>
      <c r="N5" s="287"/>
      <c r="O5" s="287"/>
      <c r="P5" s="287"/>
      <c r="Q5" s="288"/>
      <c r="R5" s="286" t="s">
        <v>379</v>
      </c>
      <c r="S5" s="287"/>
      <c r="T5" s="287"/>
      <c r="U5" s="287"/>
      <c r="V5" s="288"/>
      <c r="W5" s="286" t="s">
        <v>380</v>
      </c>
      <c r="X5" s="287"/>
      <c r="Y5" s="287"/>
      <c r="Z5" s="287"/>
      <c r="AA5" s="288"/>
      <c r="AB5" s="286" t="s">
        <v>381</v>
      </c>
      <c r="AC5" s="287"/>
      <c r="AD5" s="287"/>
      <c r="AE5" s="287"/>
      <c r="AF5" s="288"/>
      <c r="AG5" s="286" t="s">
        <v>382</v>
      </c>
      <c r="AH5" s="287"/>
      <c r="AI5" s="287"/>
      <c r="AJ5" s="287"/>
      <c r="AK5" s="288"/>
      <c r="AL5" s="286" t="s">
        <v>383</v>
      </c>
      <c r="AM5" s="287"/>
      <c r="AN5" s="287"/>
      <c r="AO5" s="287"/>
      <c r="AP5" s="288"/>
      <c r="AQ5" s="274" t="s">
        <v>377</v>
      </c>
      <c r="AR5" s="275"/>
      <c r="AS5" s="275"/>
      <c r="AT5" s="275"/>
      <c r="AU5" s="276"/>
      <c r="AV5" s="274" t="s">
        <v>378</v>
      </c>
      <c r="AW5" s="275"/>
      <c r="AX5" s="275"/>
      <c r="AY5" s="275"/>
      <c r="AZ5" s="276"/>
      <c r="BA5" s="274" t="s">
        <v>383</v>
      </c>
      <c r="BB5" s="275"/>
      <c r="BC5" s="275"/>
      <c r="BD5" s="275"/>
      <c r="BE5" s="276"/>
      <c r="BF5" s="277" t="s">
        <v>377</v>
      </c>
      <c r="BG5" s="278"/>
      <c r="BH5" s="278"/>
      <c r="BI5" s="278"/>
      <c r="BJ5" s="279"/>
      <c r="BK5" s="277" t="s">
        <v>378</v>
      </c>
      <c r="BL5" s="278"/>
      <c r="BM5" s="278"/>
      <c r="BN5" s="278"/>
      <c r="BO5" s="279"/>
      <c r="BP5" s="277" t="s">
        <v>383</v>
      </c>
      <c r="BQ5" s="278"/>
      <c r="BR5" s="278"/>
      <c r="BS5" s="278"/>
      <c r="BT5" s="279"/>
      <c r="BU5" s="280" t="s">
        <v>377</v>
      </c>
      <c r="BV5" s="281"/>
      <c r="BW5" s="281"/>
      <c r="BX5" s="281"/>
      <c r="BY5" s="282"/>
      <c r="BZ5" s="280" t="s">
        <v>378</v>
      </c>
      <c r="CA5" s="281"/>
      <c r="CB5" s="281"/>
      <c r="CC5" s="281"/>
      <c r="CD5" s="282"/>
      <c r="CE5" s="280" t="s">
        <v>383</v>
      </c>
      <c r="CF5" s="281"/>
      <c r="CG5" s="281"/>
      <c r="CH5" s="281"/>
      <c r="CI5" s="282"/>
    </row>
    <row r="6" spans="1:87" x14ac:dyDescent="0.3">
      <c r="A6" s="102" t="s">
        <v>384</v>
      </c>
      <c r="B6" s="196" t="s">
        <v>385</v>
      </c>
      <c r="C6" s="102" t="s">
        <v>386</v>
      </c>
      <c r="D6" s="102" t="s">
        <v>387</v>
      </c>
      <c r="E6" s="102" t="s">
        <v>388</v>
      </c>
      <c r="F6" s="102" t="s">
        <v>389</v>
      </c>
      <c r="G6" s="105" t="s">
        <v>390</v>
      </c>
      <c r="H6" s="105" t="s">
        <v>391</v>
      </c>
      <c r="I6" s="105" t="s">
        <v>392</v>
      </c>
      <c r="J6" s="105" t="s">
        <v>393</v>
      </c>
      <c r="K6" s="105" t="s">
        <v>394</v>
      </c>
      <c r="L6" s="105" t="s">
        <v>30</v>
      </c>
      <c r="M6" s="106" t="s">
        <v>391</v>
      </c>
      <c r="N6" s="106" t="s">
        <v>392</v>
      </c>
      <c r="O6" s="106" t="s">
        <v>393</v>
      </c>
      <c r="P6" s="106" t="s">
        <v>394</v>
      </c>
      <c r="Q6" s="106" t="s">
        <v>30</v>
      </c>
      <c r="R6" s="105" t="s">
        <v>391</v>
      </c>
      <c r="S6" s="105" t="s">
        <v>392</v>
      </c>
      <c r="T6" s="105" t="s">
        <v>393</v>
      </c>
      <c r="U6" s="105" t="s">
        <v>394</v>
      </c>
      <c r="V6" s="105" t="s">
        <v>30</v>
      </c>
      <c r="W6" s="106" t="s">
        <v>391</v>
      </c>
      <c r="X6" s="106" t="s">
        <v>392</v>
      </c>
      <c r="Y6" s="106" t="s">
        <v>393</v>
      </c>
      <c r="Z6" s="106" t="s">
        <v>394</v>
      </c>
      <c r="AA6" s="106" t="s">
        <v>30</v>
      </c>
      <c r="AB6" s="105" t="s">
        <v>391</v>
      </c>
      <c r="AC6" s="105" t="s">
        <v>392</v>
      </c>
      <c r="AD6" s="105" t="s">
        <v>393</v>
      </c>
      <c r="AE6" s="105" t="s">
        <v>394</v>
      </c>
      <c r="AF6" s="105" t="s">
        <v>30</v>
      </c>
      <c r="AG6" s="106" t="s">
        <v>391</v>
      </c>
      <c r="AH6" s="106" t="s">
        <v>392</v>
      </c>
      <c r="AI6" s="106" t="s">
        <v>393</v>
      </c>
      <c r="AJ6" s="106" t="s">
        <v>394</v>
      </c>
      <c r="AK6" s="106" t="s">
        <v>30</v>
      </c>
      <c r="AL6" s="105" t="s">
        <v>391</v>
      </c>
      <c r="AM6" s="105" t="s">
        <v>392</v>
      </c>
      <c r="AN6" s="105" t="s">
        <v>393</v>
      </c>
      <c r="AO6" s="105" t="s">
        <v>394</v>
      </c>
      <c r="AP6" s="105" t="s">
        <v>30</v>
      </c>
      <c r="AQ6" s="105" t="s">
        <v>391</v>
      </c>
      <c r="AR6" s="105" t="s">
        <v>392</v>
      </c>
      <c r="AS6" s="105" t="s">
        <v>393</v>
      </c>
      <c r="AT6" s="105" t="s">
        <v>394</v>
      </c>
      <c r="AU6" s="105" t="s">
        <v>30</v>
      </c>
      <c r="AV6" s="106" t="s">
        <v>391</v>
      </c>
      <c r="AW6" s="106" t="s">
        <v>392</v>
      </c>
      <c r="AX6" s="106" t="s">
        <v>393</v>
      </c>
      <c r="AY6" s="106" t="s">
        <v>394</v>
      </c>
      <c r="AZ6" s="106" t="s">
        <v>30</v>
      </c>
      <c r="BA6" s="105" t="s">
        <v>391</v>
      </c>
      <c r="BB6" s="105" t="s">
        <v>392</v>
      </c>
      <c r="BC6" s="105" t="s">
        <v>393</v>
      </c>
      <c r="BD6" s="105" t="s">
        <v>394</v>
      </c>
      <c r="BE6" s="105" t="s">
        <v>30</v>
      </c>
      <c r="BF6" s="105" t="s">
        <v>391</v>
      </c>
      <c r="BG6" s="105" t="s">
        <v>392</v>
      </c>
      <c r="BH6" s="105" t="s">
        <v>393</v>
      </c>
      <c r="BI6" s="105" t="s">
        <v>394</v>
      </c>
      <c r="BJ6" s="105" t="s">
        <v>30</v>
      </c>
      <c r="BK6" s="106" t="s">
        <v>391</v>
      </c>
      <c r="BL6" s="106" t="s">
        <v>392</v>
      </c>
      <c r="BM6" s="106" t="s">
        <v>393</v>
      </c>
      <c r="BN6" s="106" t="s">
        <v>394</v>
      </c>
      <c r="BO6" s="106" t="s">
        <v>30</v>
      </c>
      <c r="BP6" s="105" t="s">
        <v>391</v>
      </c>
      <c r="BQ6" s="105" t="s">
        <v>392</v>
      </c>
      <c r="BR6" s="105" t="s">
        <v>393</v>
      </c>
      <c r="BS6" s="105" t="s">
        <v>394</v>
      </c>
      <c r="BT6" s="105" t="s">
        <v>30</v>
      </c>
      <c r="BU6" s="105" t="s">
        <v>391</v>
      </c>
      <c r="BV6" s="105" t="s">
        <v>392</v>
      </c>
      <c r="BW6" s="105" t="s">
        <v>393</v>
      </c>
      <c r="BX6" s="105" t="s">
        <v>394</v>
      </c>
      <c r="BY6" s="105" t="s">
        <v>30</v>
      </c>
      <c r="BZ6" s="106" t="s">
        <v>391</v>
      </c>
      <c r="CA6" s="106" t="s">
        <v>392</v>
      </c>
      <c r="CB6" s="106" t="s">
        <v>393</v>
      </c>
      <c r="CC6" s="106" t="s">
        <v>394</v>
      </c>
      <c r="CD6" s="106" t="s">
        <v>30</v>
      </c>
      <c r="CE6" s="105" t="s">
        <v>391</v>
      </c>
      <c r="CF6" s="105" t="s">
        <v>392</v>
      </c>
      <c r="CG6" s="105" t="s">
        <v>393</v>
      </c>
      <c r="CH6" s="105" t="s">
        <v>394</v>
      </c>
      <c r="CI6" s="105" t="s">
        <v>30</v>
      </c>
    </row>
    <row r="7" spans="1:87" x14ac:dyDescent="0.3">
      <c r="A7" s="103">
        <v>2022</v>
      </c>
      <c r="B7" s="103">
        <v>1</v>
      </c>
      <c r="C7" s="103" t="s">
        <v>395</v>
      </c>
      <c r="D7" s="103">
        <v>15500</v>
      </c>
      <c r="E7" s="104" t="s">
        <v>396</v>
      </c>
      <c r="F7" s="104" t="s">
        <v>397</v>
      </c>
      <c r="G7" s="107" t="s">
        <v>398</v>
      </c>
      <c r="H7" s="108">
        <v>88.424000000000007</v>
      </c>
      <c r="I7" s="108">
        <v>18.673999999999999</v>
      </c>
      <c r="J7" s="108">
        <v>0.26500000000000001</v>
      </c>
      <c r="K7" s="108">
        <v>0</v>
      </c>
      <c r="L7" s="108">
        <v>107.363</v>
      </c>
      <c r="M7" s="109">
        <v>11800</v>
      </c>
      <c r="N7" s="109">
        <v>1085</v>
      </c>
      <c r="O7" s="109">
        <v>6</v>
      </c>
      <c r="P7" s="109">
        <v>0</v>
      </c>
      <c r="Q7" s="109">
        <v>12891</v>
      </c>
      <c r="R7" s="108">
        <v>0</v>
      </c>
      <c r="S7" s="108">
        <v>0</v>
      </c>
      <c r="T7" s="108">
        <v>0</v>
      </c>
      <c r="U7" s="108">
        <v>0</v>
      </c>
      <c r="V7" s="108">
        <v>0</v>
      </c>
      <c r="W7" s="109">
        <v>0</v>
      </c>
      <c r="X7" s="109">
        <v>0</v>
      </c>
      <c r="Y7" s="109">
        <v>0</v>
      </c>
      <c r="Z7" s="109">
        <v>0</v>
      </c>
      <c r="AA7" s="109">
        <v>0</v>
      </c>
      <c r="AB7" s="108">
        <v>0</v>
      </c>
      <c r="AC7" s="108">
        <v>0</v>
      </c>
      <c r="AD7" s="108">
        <v>0</v>
      </c>
      <c r="AE7" s="108">
        <v>0</v>
      </c>
      <c r="AF7" s="108">
        <v>0</v>
      </c>
      <c r="AG7" s="109">
        <v>0</v>
      </c>
      <c r="AH7" s="109">
        <v>0</v>
      </c>
      <c r="AI7" s="109">
        <v>0</v>
      </c>
      <c r="AJ7" s="109">
        <v>0</v>
      </c>
      <c r="AK7" s="109">
        <v>0</v>
      </c>
      <c r="AL7" s="108">
        <v>0</v>
      </c>
      <c r="AM7" s="108">
        <v>0</v>
      </c>
      <c r="AN7" s="108">
        <v>0</v>
      </c>
      <c r="AO7" s="108">
        <v>0</v>
      </c>
      <c r="AP7" s="108">
        <v>0</v>
      </c>
      <c r="AQ7" s="108">
        <v>6.4000000000000001E-2</v>
      </c>
      <c r="AR7" s="108">
        <v>1.7000000000000001E-2</v>
      </c>
      <c r="AS7" s="108">
        <v>0</v>
      </c>
      <c r="AT7" s="108">
        <v>0</v>
      </c>
      <c r="AU7" s="108">
        <v>8.1000000000000003E-2</v>
      </c>
      <c r="AV7" s="109">
        <v>22</v>
      </c>
      <c r="AW7" s="109">
        <v>7</v>
      </c>
      <c r="AX7" s="109">
        <v>0</v>
      </c>
      <c r="AY7" s="109">
        <v>0</v>
      </c>
      <c r="AZ7" s="109">
        <v>29</v>
      </c>
      <c r="BA7" s="108">
        <v>0</v>
      </c>
      <c r="BB7" s="108">
        <v>0</v>
      </c>
      <c r="BC7" s="108">
        <v>0</v>
      </c>
      <c r="BD7" s="108">
        <v>0</v>
      </c>
      <c r="BE7" s="108">
        <v>0</v>
      </c>
      <c r="BF7" s="108">
        <v>0.13600000000000001</v>
      </c>
      <c r="BG7" s="108">
        <v>0.17299999999999999</v>
      </c>
      <c r="BH7" s="108">
        <v>1.4E-2</v>
      </c>
      <c r="BI7" s="108">
        <v>0</v>
      </c>
      <c r="BJ7" s="108">
        <v>0.32300000000000001</v>
      </c>
      <c r="BK7" s="109">
        <v>16</v>
      </c>
      <c r="BL7" s="109">
        <v>6</v>
      </c>
      <c r="BM7" s="109">
        <v>1</v>
      </c>
      <c r="BN7" s="109">
        <v>0</v>
      </c>
      <c r="BO7" s="109">
        <v>23</v>
      </c>
      <c r="BP7" s="108">
        <v>0</v>
      </c>
      <c r="BQ7" s="108">
        <v>0</v>
      </c>
      <c r="BR7" s="108">
        <v>0</v>
      </c>
      <c r="BS7" s="108">
        <v>0</v>
      </c>
      <c r="BT7" s="108">
        <v>0</v>
      </c>
      <c r="BU7" s="110">
        <v>88.623999999999995</v>
      </c>
      <c r="BV7" s="110">
        <v>18.864000000000001</v>
      </c>
      <c r="BW7" s="110">
        <v>0.27900000000000003</v>
      </c>
      <c r="BX7" s="108">
        <v>0</v>
      </c>
      <c r="BY7" s="110">
        <v>107.767</v>
      </c>
      <c r="BZ7" s="109">
        <v>11838</v>
      </c>
      <c r="CA7" s="109">
        <v>1098</v>
      </c>
      <c r="CB7" s="109">
        <v>7</v>
      </c>
      <c r="CC7" s="109">
        <v>0</v>
      </c>
      <c r="CD7" s="109">
        <v>12943</v>
      </c>
      <c r="CE7" s="108">
        <v>0</v>
      </c>
      <c r="CF7" s="108">
        <v>0</v>
      </c>
      <c r="CG7" s="108">
        <v>0</v>
      </c>
      <c r="CH7" s="108">
        <v>0</v>
      </c>
      <c r="CI7" s="108">
        <v>0</v>
      </c>
    </row>
    <row r="8" spans="1:87" x14ac:dyDescent="0.3">
      <c r="A8" s="103">
        <v>2022</v>
      </c>
      <c r="B8" s="103">
        <v>2</v>
      </c>
      <c r="C8" s="103" t="s">
        <v>395</v>
      </c>
      <c r="D8" s="103">
        <v>15500</v>
      </c>
      <c r="E8" s="104" t="s">
        <v>396</v>
      </c>
      <c r="F8" s="104" t="s">
        <v>397</v>
      </c>
      <c r="G8" s="107" t="s">
        <v>398</v>
      </c>
      <c r="H8" s="108">
        <v>89.849000000000004</v>
      </c>
      <c r="I8" s="108">
        <v>18.75</v>
      </c>
      <c r="J8" s="108">
        <v>0.26500000000000001</v>
      </c>
      <c r="K8" s="108" t="s">
        <v>399</v>
      </c>
      <c r="L8" s="108">
        <v>108.864</v>
      </c>
      <c r="M8" s="109">
        <v>11956</v>
      </c>
      <c r="N8" s="109">
        <v>1091</v>
      </c>
      <c r="O8" s="109">
        <v>6</v>
      </c>
      <c r="P8" s="109" t="s">
        <v>399</v>
      </c>
      <c r="Q8" s="109">
        <v>13053</v>
      </c>
      <c r="R8" s="108" t="s">
        <v>399</v>
      </c>
      <c r="S8" s="108" t="s">
        <v>399</v>
      </c>
      <c r="T8" s="108" t="s">
        <v>399</v>
      </c>
      <c r="U8" s="108" t="s">
        <v>399</v>
      </c>
      <c r="V8" s="108">
        <v>0</v>
      </c>
      <c r="W8" s="109" t="s">
        <v>399</v>
      </c>
      <c r="X8" s="109" t="s">
        <v>399</v>
      </c>
      <c r="Y8" s="109" t="s">
        <v>399</v>
      </c>
      <c r="Z8" s="109" t="s">
        <v>399</v>
      </c>
      <c r="AA8" s="109">
        <v>0</v>
      </c>
      <c r="AB8" s="108" t="s">
        <v>399</v>
      </c>
      <c r="AC8" s="108" t="s">
        <v>399</v>
      </c>
      <c r="AD8" s="108" t="s">
        <v>399</v>
      </c>
      <c r="AE8" s="108" t="s">
        <v>399</v>
      </c>
      <c r="AF8" s="108">
        <v>0</v>
      </c>
      <c r="AG8" s="109" t="s">
        <v>399</v>
      </c>
      <c r="AH8" s="109" t="s">
        <v>399</v>
      </c>
      <c r="AI8" s="109" t="s">
        <v>399</v>
      </c>
      <c r="AJ8" s="109" t="s">
        <v>399</v>
      </c>
      <c r="AK8" s="109">
        <v>0</v>
      </c>
      <c r="AL8" s="108" t="s">
        <v>399</v>
      </c>
      <c r="AM8" s="108" t="s">
        <v>399</v>
      </c>
      <c r="AN8" s="108" t="s">
        <v>399</v>
      </c>
      <c r="AO8" s="108" t="s">
        <v>399</v>
      </c>
      <c r="AP8" s="108">
        <v>0</v>
      </c>
      <c r="AQ8" s="108">
        <v>6.4000000000000001E-2</v>
      </c>
      <c r="AR8" s="108">
        <v>1.7000000000000001E-2</v>
      </c>
      <c r="AS8" s="108" t="s">
        <v>399</v>
      </c>
      <c r="AT8" s="108" t="s">
        <v>399</v>
      </c>
      <c r="AU8" s="108">
        <v>8.1000000000000003E-2</v>
      </c>
      <c r="AV8" s="109">
        <v>22</v>
      </c>
      <c r="AW8" s="109">
        <v>7</v>
      </c>
      <c r="AX8" s="109" t="s">
        <v>399</v>
      </c>
      <c r="AY8" s="109" t="s">
        <v>399</v>
      </c>
      <c r="AZ8" s="109">
        <v>29</v>
      </c>
      <c r="BA8" s="108" t="s">
        <v>399</v>
      </c>
      <c r="BB8" s="108" t="s">
        <v>399</v>
      </c>
      <c r="BC8" s="108" t="s">
        <v>399</v>
      </c>
      <c r="BD8" s="108" t="s">
        <v>399</v>
      </c>
      <c r="BE8" s="108">
        <v>0</v>
      </c>
      <c r="BF8" s="108">
        <v>0.13600000000000001</v>
      </c>
      <c r="BG8" s="108">
        <v>0.17299999999999999</v>
      </c>
      <c r="BH8" s="108">
        <v>1.4E-2</v>
      </c>
      <c r="BI8" s="108" t="s">
        <v>399</v>
      </c>
      <c r="BJ8" s="108">
        <v>0.32300000000000001</v>
      </c>
      <c r="BK8" s="109">
        <v>16</v>
      </c>
      <c r="BL8" s="109">
        <v>6</v>
      </c>
      <c r="BM8" s="109">
        <v>1</v>
      </c>
      <c r="BN8" s="109" t="s">
        <v>399</v>
      </c>
      <c r="BO8" s="109">
        <v>23</v>
      </c>
      <c r="BP8" s="108" t="s">
        <v>399</v>
      </c>
      <c r="BQ8" s="108" t="s">
        <v>399</v>
      </c>
      <c r="BR8" s="108" t="s">
        <v>399</v>
      </c>
      <c r="BS8" s="108" t="s">
        <v>399</v>
      </c>
      <c r="BT8" s="108">
        <v>0</v>
      </c>
      <c r="BU8" s="110">
        <v>90.049000000000007</v>
      </c>
      <c r="BV8" s="110">
        <v>18.940000000000001</v>
      </c>
      <c r="BW8" s="110">
        <v>0.27900000000000003</v>
      </c>
      <c r="BX8" s="108">
        <v>0</v>
      </c>
      <c r="BY8" s="110">
        <v>109.268</v>
      </c>
      <c r="BZ8" s="109">
        <v>11994</v>
      </c>
      <c r="CA8" s="109">
        <v>1104</v>
      </c>
      <c r="CB8" s="109">
        <v>7</v>
      </c>
      <c r="CC8" s="109">
        <v>0</v>
      </c>
      <c r="CD8" s="109">
        <v>13105</v>
      </c>
      <c r="CE8" s="108">
        <v>0</v>
      </c>
      <c r="CF8" s="108">
        <v>0</v>
      </c>
      <c r="CG8" s="108">
        <v>0</v>
      </c>
      <c r="CH8" s="108">
        <v>0</v>
      </c>
      <c r="CI8" s="108">
        <v>0</v>
      </c>
    </row>
    <row r="9" spans="1:87" x14ac:dyDescent="0.3">
      <c r="A9" s="103">
        <v>2022</v>
      </c>
      <c r="B9" s="103">
        <v>3</v>
      </c>
      <c r="C9" s="103" t="s">
        <v>395</v>
      </c>
      <c r="D9" s="103">
        <v>15500</v>
      </c>
      <c r="E9" s="104" t="s">
        <v>396</v>
      </c>
      <c r="F9" s="104" t="s">
        <v>397</v>
      </c>
      <c r="G9" s="107" t="s">
        <v>398</v>
      </c>
      <c r="H9" s="108">
        <v>92.156000000000006</v>
      </c>
      <c r="I9" s="108">
        <v>18.966999999999999</v>
      </c>
      <c r="J9" s="108">
        <v>0.26500000000000001</v>
      </c>
      <c r="K9" s="108">
        <v>0</v>
      </c>
      <c r="L9" s="108">
        <v>111.38800000000001</v>
      </c>
      <c r="M9" s="109">
        <v>12241</v>
      </c>
      <c r="N9" s="109">
        <v>1091</v>
      </c>
      <c r="O9" s="109">
        <v>6</v>
      </c>
      <c r="P9" s="109">
        <v>0</v>
      </c>
      <c r="Q9" s="109">
        <v>13338</v>
      </c>
      <c r="R9" s="108">
        <v>0</v>
      </c>
      <c r="S9" s="108">
        <v>0</v>
      </c>
      <c r="T9" s="108">
        <v>0</v>
      </c>
      <c r="U9" s="108">
        <v>0</v>
      </c>
      <c r="V9" s="108">
        <v>0</v>
      </c>
      <c r="W9" s="109">
        <v>0</v>
      </c>
      <c r="X9" s="109">
        <v>0</v>
      </c>
      <c r="Y9" s="109">
        <v>0</v>
      </c>
      <c r="Z9" s="109">
        <v>0</v>
      </c>
      <c r="AA9" s="109">
        <v>0</v>
      </c>
      <c r="AB9" s="108">
        <v>0</v>
      </c>
      <c r="AC9" s="108">
        <v>0</v>
      </c>
      <c r="AD9" s="108">
        <v>0</v>
      </c>
      <c r="AE9" s="108">
        <v>0</v>
      </c>
      <c r="AF9" s="108">
        <v>0</v>
      </c>
      <c r="AG9" s="109">
        <v>0</v>
      </c>
      <c r="AH9" s="109">
        <v>0</v>
      </c>
      <c r="AI9" s="109">
        <v>0</v>
      </c>
      <c r="AJ9" s="109">
        <v>0</v>
      </c>
      <c r="AK9" s="109">
        <v>0</v>
      </c>
      <c r="AL9" s="108">
        <v>0</v>
      </c>
      <c r="AM9" s="108">
        <v>0</v>
      </c>
      <c r="AN9" s="108">
        <v>0</v>
      </c>
      <c r="AO9" s="108">
        <v>0</v>
      </c>
      <c r="AP9" s="108">
        <v>0</v>
      </c>
      <c r="AQ9" s="108">
        <v>6.2E-2</v>
      </c>
      <c r="AR9" s="108">
        <v>1.7000000000000001E-2</v>
      </c>
      <c r="AS9" s="108">
        <v>0</v>
      </c>
      <c r="AT9" s="108">
        <v>0</v>
      </c>
      <c r="AU9" s="108">
        <v>7.9000000000000001E-2</v>
      </c>
      <c r="AV9" s="109">
        <v>21</v>
      </c>
      <c r="AW9" s="109">
        <v>7</v>
      </c>
      <c r="AX9" s="109">
        <v>0</v>
      </c>
      <c r="AY9" s="109">
        <v>0</v>
      </c>
      <c r="AZ9" s="109">
        <v>28</v>
      </c>
      <c r="BA9" s="108">
        <v>0</v>
      </c>
      <c r="BB9" s="108">
        <v>0</v>
      </c>
      <c r="BC9" s="108">
        <v>0</v>
      </c>
      <c r="BD9" s="108">
        <v>0</v>
      </c>
      <c r="BE9" s="108">
        <v>0</v>
      </c>
      <c r="BF9" s="108">
        <v>0.13900000000000001</v>
      </c>
      <c r="BG9" s="108">
        <v>0.17299999999999999</v>
      </c>
      <c r="BH9" s="108">
        <v>1.4E-2</v>
      </c>
      <c r="BI9" s="108">
        <v>0</v>
      </c>
      <c r="BJ9" s="108">
        <v>0.32600000000000001</v>
      </c>
      <c r="BK9" s="109">
        <v>16</v>
      </c>
      <c r="BL9" s="109">
        <v>6</v>
      </c>
      <c r="BM9" s="109">
        <v>1</v>
      </c>
      <c r="BN9" s="109">
        <v>0</v>
      </c>
      <c r="BO9" s="109">
        <v>23</v>
      </c>
      <c r="BP9" s="108">
        <v>0</v>
      </c>
      <c r="BQ9" s="108">
        <v>0</v>
      </c>
      <c r="BR9" s="108">
        <v>0</v>
      </c>
      <c r="BS9" s="108">
        <v>0</v>
      </c>
      <c r="BT9" s="108">
        <v>0</v>
      </c>
      <c r="BU9" s="110">
        <v>92.356999999999999</v>
      </c>
      <c r="BV9" s="110">
        <v>19.157</v>
      </c>
      <c r="BW9" s="110">
        <v>0.27900000000000003</v>
      </c>
      <c r="BX9" s="108">
        <v>0</v>
      </c>
      <c r="BY9" s="110">
        <v>111.79300000000001</v>
      </c>
      <c r="BZ9" s="109">
        <v>12278</v>
      </c>
      <c r="CA9" s="109">
        <v>1104</v>
      </c>
      <c r="CB9" s="109">
        <v>7</v>
      </c>
      <c r="CC9" s="109">
        <v>0</v>
      </c>
      <c r="CD9" s="109">
        <v>13389</v>
      </c>
      <c r="CE9" s="108">
        <v>0</v>
      </c>
      <c r="CF9" s="108">
        <v>0</v>
      </c>
      <c r="CG9" s="108">
        <v>0</v>
      </c>
      <c r="CH9" s="108">
        <v>0</v>
      </c>
      <c r="CI9" s="108">
        <v>0</v>
      </c>
    </row>
    <row r="10" spans="1:87" x14ac:dyDescent="0.3">
      <c r="A10" s="103">
        <v>2022</v>
      </c>
      <c r="B10" s="103">
        <v>4</v>
      </c>
      <c r="C10" s="103" t="s">
        <v>395</v>
      </c>
      <c r="D10" s="103">
        <v>15500</v>
      </c>
      <c r="E10" s="104" t="s">
        <v>396</v>
      </c>
      <c r="F10" s="104" t="s">
        <v>397</v>
      </c>
      <c r="G10" s="107" t="s">
        <v>398</v>
      </c>
      <c r="H10" s="108">
        <v>94.006</v>
      </c>
      <c r="I10" s="108">
        <v>19.151</v>
      </c>
      <c r="J10" s="108">
        <v>0.26500000000000001</v>
      </c>
      <c r="K10" s="108">
        <v>0</v>
      </c>
      <c r="L10" s="108">
        <v>113.422</v>
      </c>
      <c r="M10" s="109">
        <v>12441</v>
      </c>
      <c r="N10" s="109">
        <v>1099</v>
      </c>
      <c r="O10" s="109">
        <v>6</v>
      </c>
      <c r="P10" s="109">
        <v>0</v>
      </c>
      <c r="Q10" s="109">
        <v>13546</v>
      </c>
      <c r="R10" s="108">
        <v>0</v>
      </c>
      <c r="S10" s="108">
        <v>0</v>
      </c>
      <c r="T10" s="108">
        <v>0</v>
      </c>
      <c r="U10" s="108">
        <v>0</v>
      </c>
      <c r="V10" s="108">
        <v>0</v>
      </c>
      <c r="W10" s="109">
        <v>0</v>
      </c>
      <c r="X10" s="109">
        <v>0</v>
      </c>
      <c r="Y10" s="109">
        <v>0</v>
      </c>
      <c r="Z10" s="109">
        <v>0</v>
      </c>
      <c r="AA10" s="109">
        <v>0</v>
      </c>
      <c r="AB10" s="108">
        <v>0</v>
      </c>
      <c r="AC10" s="108">
        <v>0</v>
      </c>
      <c r="AD10" s="108">
        <v>0</v>
      </c>
      <c r="AE10" s="108">
        <v>0</v>
      </c>
      <c r="AF10" s="108">
        <v>0</v>
      </c>
      <c r="AG10" s="109">
        <v>0</v>
      </c>
      <c r="AH10" s="109">
        <v>0</v>
      </c>
      <c r="AI10" s="109">
        <v>0</v>
      </c>
      <c r="AJ10" s="109">
        <v>0</v>
      </c>
      <c r="AK10" s="109">
        <v>0</v>
      </c>
      <c r="AL10" s="108">
        <v>0</v>
      </c>
      <c r="AM10" s="108">
        <v>0</v>
      </c>
      <c r="AN10" s="108">
        <v>0</v>
      </c>
      <c r="AO10" s="108">
        <v>0</v>
      </c>
      <c r="AP10" s="108">
        <v>0</v>
      </c>
      <c r="AQ10" s="108">
        <v>6.2E-2</v>
      </c>
      <c r="AR10" s="108">
        <v>1.7000000000000001E-2</v>
      </c>
      <c r="AS10" s="108">
        <v>0</v>
      </c>
      <c r="AT10" s="108">
        <v>0</v>
      </c>
      <c r="AU10" s="108">
        <v>7.9000000000000001E-2</v>
      </c>
      <c r="AV10" s="109">
        <v>21</v>
      </c>
      <c r="AW10" s="109">
        <v>7</v>
      </c>
      <c r="AX10" s="109">
        <v>0</v>
      </c>
      <c r="AY10" s="109">
        <v>0</v>
      </c>
      <c r="AZ10" s="109">
        <v>28</v>
      </c>
      <c r="BA10" s="108">
        <v>0</v>
      </c>
      <c r="BB10" s="108">
        <v>0</v>
      </c>
      <c r="BC10" s="108">
        <v>0</v>
      </c>
      <c r="BD10" s="108">
        <v>0</v>
      </c>
      <c r="BE10" s="108">
        <v>0</v>
      </c>
      <c r="BF10" s="108">
        <v>0.13900000000000001</v>
      </c>
      <c r="BG10" s="108">
        <v>0.17299999999999999</v>
      </c>
      <c r="BH10" s="108">
        <v>1.4E-2</v>
      </c>
      <c r="BI10" s="108">
        <v>0</v>
      </c>
      <c r="BJ10" s="108">
        <v>0.32600000000000001</v>
      </c>
      <c r="BK10" s="109">
        <v>16</v>
      </c>
      <c r="BL10" s="109">
        <v>6</v>
      </c>
      <c r="BM10" s="109">
        <v>1</v>
      </c>
      <c r="BN10" s="109">
        <v>0</v>
      </c>
      <c r="BO10" s="109">
        <v>23</v>
      </c>
      <c r="BP10" s="108">
        <v>0</v>
      </c>
      <c r="BQ10" s="108">
        <v>0</v>
      </c>
      <c r="BR10" s="108">
        <v>0</v>
      </c>
      <c r="BS10" s="108">
        <v>0</v>
      </c>
      <c r="BT10" s="108">
        <v>0</v>
      </c>
      <c r="BU10" s="110">
        <v>94.206999999999994</v>
      </c>
      <c r="BV10" s="110">
        <v>19.341000000000001</v>
      </c>
      <c r="BW10" s="110">
        <v>0.27900000000000003</v>
      </c>
      <c r="BX10" s="108">
        <v>0</v>
      </c>
      <c r="BY10" s="110">
        <v>113.827</v>
      </c>
      <c r="BZ10" s="109">
        <v>12478</v>
      </c>
      <c r="CA10" s="109">
        <v>1112</v>
      </c>
      <c r="CB10" s="109">
        <v>7</v>
      </c>
      <c r="CC10" s="109">
        <v>0</v>
      </c>
      <c r="CD10" s="109">
        <v>13597</v>
      </c>
      <c r="CE10" s="108">
        <v>0</v>
      </c>
      <c r="CF10" s="108">
        <v>0</v>
      </c>
      <c r="CG10" s="108">
        <v>0</v>
      </c>
      <c r="CH10" s="108">
        <v>0</v>
      </c>
      <c r="CI10" s="108">
        <v>0</v>
      </c>
    </row>
    <row r="11" spans="1:87" x14ac:dyDescent="0.3">
      <c r="A11" s="103">
        <v>2022</v>
      </c>
      <c r="B11" s="103">
        <v>5</v>
      </c>
      <c r="C11" s="103" t="s">
        <v>395</v>
      </c>
      <c r="D11" s="103">
        <v>15500</v>
      </c>
      <c r="E11" s="104" t="s">
        <v>396</v>
      </c>
      <c r="F11" s="104" t="s">
        <v>397</v>
      </c>
      <c r="G11" s="107" t="s">
        <v>398</v>
      </c>
      <c r="H11" s="108">
        <v>96.221999999999994</v>
      </c>
      <c r="I11" s="108">
        <v>19.241</v>
      </c>
      <c r="J11" s="108">
        <v>0.26500000000000001</v>
      </c>
      <c r="K11" s="108">
        <v>0</v>
      </c>
      <c r="L11" s="108">
        <v>115.72799999999999</v>
      </c>
      <c r="M11" s="109">
        <v>12711</v>
      </c>
      <c r="N11" s="109">
        <v>1099</v>
      </c>
      <c r="O11" s="109">
        <v>6</v>
      </c>
      <c r="P11" s="109">
        <v>0</v>
      </c>
      <c r="Q11" s="109">
        <v>13816</v>
      </c>
      <c r="R11" s="108">
        <v>0</v>
      </c>
      <c r="S11" s="108">
        <v>0</v>
      </c>
      <c r="T11" s="108">
        <v>0</v>
      </c>
      <c r="U11" s="108">
        <v>0</v>
      </c>
      <c r="V11" s="108">
        <v>0</v>
      </c>
      <c r="W11" s="109">
        <v>0</v>
      </c>
      <c r="X11" s="109">
        <v>0</v>
      </c>
      <c r="Y11" s="109">
        <v>0</v>
      </c>
      <c r="Z11" s="109">
        <v>0</v>
      </c>
      <c r="AA11" s="109">
        <v>0</v>
      </c>
      <c r="AB11" s="108">
        <v>0</v>
      </c>
      <c r="AC11" s="108">
        <v>0</v>
      </c>
      <c r="AD11" s="108">
        <v>0</v>
      </c>
      <c r="AE11" s="108">
        <v>0</v>
      </c>
      <c r="AF11" s="108">
        <v>0</v>
      </c>
      <c r="AG11" s="109">
        <v>0</v>
      </c>
      <c r="AH11" s="109">
        <v>0</v>
      </c>
      <c r="AI11" s="109">
        <v>0</v>
      </c>
      <c r="AJ11" s="109">
        <v>0</v>
      </c>
      <c r="AK11" s="109">
        <v>0</v>
      </c>
      <c r="AL11" s="108">
        <v>0</v>
      </c>
      <c r="AM11" s="108">
        <v>0</v>
      </c>
      <c r="AN11" s="108">
        <v>0</v>
      </c>
      <c r="AO11" s="108">
        <v>0</v>
      </c>
      <c r="AP11" s="108">
        <v>0</v>
      </c>
      <c r="AQ11" s="108">
        <v>6.2E-2</v>
      </c>
      <c r="AR11" s="108">
        <v>1.7000000000000001E-2</v>
      </c>
      <c r="AS11" s="108">
        <v>0</v>
      </c>
      <c r="AT11" s="108">
        <v>0</v>
      </c>
      <c r="AU11" s="108">
        <v>7.9000000000000001E-2</v>
      </c>
      <c r="AV11" s="109">
        <v>21</v>
      </c>
      <c r="AW11" s="109">
        <v>7</v>
      </c>
      <c r="AX11" s="109">
        <v>0</v>
      </c>
      <c r="AY11" s="109">
        <v>0</v>
      </c>
      <c r="AZ11" s="109">
        <v>28</v>
      </c>
      <c r="BA11" s="108">
        <v>0</v>
      </c>
      <c r="BB11" s="108">
        <v>0</v>
      </c>
      <c r="BC11" s="108">
        <v>0</v>
      </c>
      <c r="BD11" s="108">
        <v>0</v>
      </c>
      <c r="BE11" s="108">
        <v>0</v>
      </c>
      <c r="BF11" s="108">
        <v>0.13900000000000001</v>
      </c>
      <c r="BG11" s="108">
        <v>0.17299999999999999</v>
      </c>
      <c r="BH11" s="108">
        <v>1.4E-2</v>
      </c>
      <c r="BI11" s="108">
        <v>0</v>
      </c>
      <c r="BJ11" s="108">
        <v>0.32600000000000001</v>
      </c>
      <c r="BK11" s="109">
        <v>16</v>
      </c>
      <c r="BL11" s="109">
        <v>6</v>
      </c>
      <c r="BM11" s="109">
        <v>1</v>
      </c>
      <c r="BN11" s="109">
        <v>0</v>
      </c>
      <c r="BO11" s="109">
        <v>23</v>
      </c>
      <c r="BP11" s="108">
        <v>0</v>
      </c>
      <c r="BQ11" s="108">
        <v>0</v>
      </c>
      <c r="BR11" s="108">
        <v>0</v>
      </c>
      <c r="BS11" s="108">
        <v>0</v>
      </c>
      <c r="BT11" s="108">
        <v>0</v>
      </c>
      <c r="BU11" s="110">
        <v>96.423000000000002</v>
      </c>
      <c r="BV11" s="110">
        <v>19.431000000000001</v>
      </c>
      <c r="BW11" s="110">
        <v>0.27900000000000003</v>
      </c>
      <c r="BX11" s="108">
        <v>0</v>
      </c>
      <c r="BY11" s="110">
        <v>116.133</v>
      </c>
      <c r="BZ11" s="109">
        <v>12748</v>
      </c>
      <c r="CA11" s="109">
        <v>1112</v>
      </c>
      <c r="CB11" s="109">
        <v>7</v>
      </c>
      <c r="CC11" s="109">
        <v>0</v>
      </c>
      <c r="CD11" s="109">
        <v>13867</v>
      </c>
      <c r="CE11" s="108">
        <v>0</v>
      </c>
      <c r="CF11" s="108">
        <v>0</v>
      </c>
      <c r="CG11" s="108">
        <v>0</v>
      </c>
      <c r="CH11" s="108">
        <v>0</v>
      </c>
      <c r="CI11" s="108">
        <v>0</v>
      </c>
    </row>
    <row r="12" spans="1:87" x14ac:dyDescent="0.3">
      <c r="A12" s="103">
        <v>2022</v>
      </c>
      <c r="B12" s="103">
        <v>6</v>
      </c>
      <c r="C12" s="103" t="s">
        <v>395</v>
      </c>
      <c r="D12" s="103">
        <v>15500</v>
      </c>
      <c r="E12" s="104" t="s">
        <v>396</v>
      </c>
      <c r="F12" s="104" t="s">
        <v>397</v>
      </c>
      <c r="G12" s="107" t="s">
        <v>398</v>
      </c>
      <c r="H12" s="108">
        <v>98.745000000000005</v>
      </c>
      <c r="I12" s="108">
        <v>19.437000000000001</v>
      </c>
      <c r="J12" s="108">
        <v>0.26500000000000001</v>
      </c>
      <c r="K12" s="108">
        <v>0</v>
      </c>
      <c r="L12" s="108">
        <v>118.447</v>
      </c>
      <c r="M12" s="109">
        <v>13030</v>
      </c>
      <c r="N12" s="109">
        <v>1106</v>
      </c>
      <c r="O12" s="109">
        <v>6</v>
      </c>
      <c r="P12" s="109">
        <v>0</v>
      </c>
      <c r="Q12" s="109">
        <v>14142</v>
      </c>
      <c r="R12" s="108">
        <v>0</v>
      </c>
      <c r="S12" s="108">
        <v>0</v>
      </c>
      <c r="T12" s="108">
        <v>0</v>
      </c>
      <c r="U12" s="108">
        <v>0</v>
      </c>
      <c r="V12" s="108">
        <v>0</v>
      </c>
      <c r="W12" s="109">
        <v>0</v>
      </c>
      <c r="X12" s="109">
        <v>0</v>
      </c>
      <c r="Y12" s="109">
        <v>0</v>
      </c>
      <c r="Z12" s="109">
        <v>0</v>
      </c>
      <c r="AA12" s="109">
        <v>0</v>
      </c>
      <c r="AB12" s="108">
        <v>0</v>
      </c>
      <c r="AC12" s="108">
        <v>0</v>
      </c>
      <c r="AD12" s="108">
        <v>0</v>
      </c>
      <c r="AE12" s="108">
        <v>0</v>
      </c>
      <c r="AF12" s="108">
        <v>0</v>
      </c>
      <c r="AG12" s="109">
        <v>0</v>
      </c>
      <c r="AH12" s="109">
        <v>0</v>
      </c>
      <c r="AI12" s="109">
        <v>0</v>
      </c>
      <c r="AJ12" s="109">
        <v>0</v>
      </c>
      <c r="AK12" s="109">
        <v>0</v>
      </c>
      <c r="AL12" s="108">
        <v>0</v>
      </c>
      <c r="AM12" s="108">
        <v>0</v>
      </c>
      <c r="AN12" s="108">
        <v>0</v>
      </c>
      <c r="AO12" s="108">
        <v>0</v>
      </c>
      <c r="AP12" s="108">
        <v>0</v>
      </c>
      <c r="AQ12" s="108">
        <v>6.2E-2</v>
      </c>
      <c r="AR12" s="108">
        <v>1.7000000000000001E-2</v>
      </c>
      <c r="AS12" s="108">
        <v>0</v>
      </c>
      <c r="AT12" s="108">
        <v>0</v>
      </c>
      <c r="AU12" s="108">
        <v>7.9000000000000001E-2</v>
      </c>
      <c r="AV12" s="109">
        <v>21</v>
      </c>
      <c r="AW12" s="109">
        <v>7</v>
      </c>
      <c r="AX12" s="109">
        <v>0</v>
      </c>
      <c r="AY12" s="109">
        <v>0</v>
      </c>
      <c r="AZ12" s="109">
        <v>28</v>
      </c>
      <c r="BA12" s="108">
        <v>0</v>
      </c>
      <c r="BB12" s="108">
        <v>0</v>
      </c>
      <c r="BC12" s="108">
        <v>0</v>
      </c>
      <c r="BD12" s="108">
        <v>0</v>
      </c>
      <c r="BE12" s="108">
        <v>0</v>
      </c>
      <c r="BF12" s="108">
        <v>0.13900000000000001</v>
      </c>
      <c r="BG12" s="108">
        <v>0.22800000000000001</v>
      </c>
      <c r="BH12" s="108">
        <v>1.4E-2</v>
      </c>
      <c r="BI12" s="108">
        <v>0</v>
      </c>
      <c r="BJ12" s="108">
        <v>0.38100000000000001</v>
      </c>
      <c r="BK12" s="109">
        <v>16</v>
      </c>
      <c r="BL12" s="109">
        <v>7</v>
      </c>
      <c r="BM12" s="109">
        <v>1</v>
      </c>
      <c r="BN12" s="109">
        <v>0</v>
      </c>
      <c r="BO12" s="109">
        <v>24</v>
      </c>
      <c r="BP12" s="108">
        <v>0</v>
      </c>
      <c r="BQ12" s="108">
        <v>0</v>
      </c>
      <c r="BR12" s="108">
        <v>0</v>
      </c>
      <c r="BS12" s="108">
        <v>0</v>
      </c>
      <c r="BT12" s="108">
        <v>0</v>
      </c>
      <c r="BU12" s="110">
        <v>98.945999999999998</v>
      </c>
      <c r="BV12" s="110">
        <v>19.681999999999999</v>
      </c>
      <c r="BW12" s="110">
        <v>0.27900000000000003</v>
      </c>
      <c r="BX12" s="108">
        <v>0</v>
      </c>
      <c r="BY12" s="110">
        <v>118.907</v>
      </c>
      <c r="BZ12" s="109">
        <v>13067</v>
      </c>
      <c r="CA12" s="109">
        <v>1120</v>
      </c>
      <c r="CB12" s="109">
        <v>7</v>
      </c>
      <c r="CC12" s="109">
        <v>0</v>
      </c>
      <c r="CD12" s="109">
        <v>14194</v>
      </c>
      <c r="CE12" s="108">
        <v>0</v>
      </c>
      <c r="CF12" s="108">
        <v>0</v>
      </c>
      <c r="CG12" s="108">
        <v>0</v>
      </c>
      <c r="CH12" s="108">
        <v>0</v>
      </c>
      <c r="CI12" s="108">
        <v>0</v>
      </c>
    </row>
    <row r="13" spans="1:87" x14ac:dyDescent="0.3">
      <c r="G13" s="111" t="s">
        <v>400</v>
      </c>
      <c r="H13" s="112">
        <f t="shared" ref="H13:AM13" si="0">AVERAGE(H7:H12)</f>
        <v>93.233666666666679</v>
      </c>
      <c r="I13" s="112">
        <f t="shared" si="0"/>
        <v>19.036666666666665</v>
      </c>
      <c r="J13" s="112">
        <f t="shared" si="0"/>
        <v>0.26500000000000007</v>
      </c>
      <c r="K13" s="112">
        <f t="shared" si="0"/>
        <v>0</v>
      </c>
      <c r="L13" s="112">
        <f t="shared" si="0"/>
        <v>112.53533333333333</v>
      </c>
      <c r="M13" s="113">
        <f t="shared" si="0"/>
        <v>12363.166666666666</v>
      </c>
      <c r="N13" s="113">
        <f t="shared" si="0"/>
        <v>1095.1666666666667</v>
      </c>
      <c r="O13" s="113">
        <f t="shared" si="0"/>
        <v>6</v>
      </c>
      <c r="P13" s="113">
        <f t="shared" si="0"/>
        <v>0</v>
      </c>
      <c r="Q13" s="113">
        <f t="shared" si="0"/>
        <v>13464.333333333334</v>
      </c>
      <c r="R13" s="112">
        <f t="shared" si="0"/>
        <v>0</v>
      </c>
      <c r="S13" s="112">
        <f t="shared" si="0"/>
        <v>0</v>
      </c>
      <c r="T13" s="112">
        <f t="shared" si="0"/>
        <v>0</v>
      </c>
      <c r="U13" s="112">
        <f t="shared" si="0"/>
        <v>0</v>
      </c>
      <c r="V13" s="112">
        <f t="shared" si="0"/>
        <v>0</v>
      </c>
      <c r="W13" s="113">
        <f t="shared" si="0"/>
        <v>0</v>
      </c>
      <c r="X13" s="113">
        <f t="shared" si="0"/>
        <v>0</v>
      </c>
      <c r="Y13" s="113">
        <f t="shared" si="0"/>
        <v>0</v>
      </c>
      <c r="Z13" s="113">
        <f t="shared" si="0"/>
        <v>0</v>
      </c>
      <c r="AA13" s="113">
        <f t="shared" si="0"/>
        <v>0</v>
      </c>
      <c r="AB13" s="112">
        <f t="shared" si="0"/>
        <v>0</v>
      </c>
      <c r="AC13" s="112">
        <f t="shared" si="0"/>
        <v>0</v>
      </c>
      <c r="AD13" s="112">
        <f t="shared" si="0"/>
        <v>0</v>
      </c>
      <c r="AE13" s="112">
        <f t="shared" si="0"/>
        <v>0</v>
      </c>
      <c r="AF13" s="112">
        <f t="shared" si="0"/>
        <v>0</v>
      </c>
      <c r="AG13" s="113">
        <f t="shared" si="0"/>
        <v>0</v>
      </c>
      <c r="AH13" s="113">
        <f t="shared" si="0"/>
        <v>0</v>
      </c>
      <c r="AI13" s="113">
        <f t="shared" si="0"/>
        <v>0</v>
      </c>
      <c r="AJ13" s="113">
        <f t="shared" si="0"/>
        <v>0</v>
      </c>
      <c r="AK13" s="113">
        <f t="shared" si="0"/>
        <v>0</v>
      </c>
      <c r="AL13" s="112">
        <f t="shared" si="0"/>
        <v>0</v>
      </c>
      <c r="AM13" s="112">
        <f t="shared" si="0"/>
        <v>0</v>
      </c>
      <c r="AN13" s="112">
        <f t="shared" ref="AN13:BS13" si="1">AVERAGE(AN7:AN12)</f>
        <v>0</v>
      </c>
      <c r="AO13" s="112">
        <f t="shared" si="1"/>
        <v>0</v>
      </c>
      <c r="AP13" s="112">
        <f t="shared" si="1"/>
        <v>0</v>
      </c>
      <c r="AQ13" s="113">
        <f t="shared" si="1"/>
        <v>6.2666666666666662E-2</v>
      </c>
      <c r="AR13" s="113">
        <f t="shared" si="1"/>
        <v>1.7000000000000001E-2</v>
      </c>
      <c r="AS13" s="113">
        <f t="shared" si="1"/>
        <v>0</v>
      </c>
      <c r="AT13" s="113">
        <f t="shared" si="1"/>
        <v>0</v>
      </c>
      <c r="AU13" s="113">
        <f t="shared" si="1"/>
        <v>7.9666666666666677E-2</v>
      </c>
      <c r="AV13" s="112">
        <f t="shared" si="1"/>
        <v>21.333333333333332</v>
      </c>
      <c r="AW13" s="112">
        <f t="shared" si="1"/>
        <v>7</v>
      </c>
      <c r="AX13" s="112">
        <f t="shared" si="1"/>
        <v>0</v>
      </c>
      <c r="AY13" s="112">
        <f t="shared" si="1"/>
        <v>0</v>
      </c>
      <c r="AZ13" s="112">
        <f t="shared" si="1"/>
        <v>28.333333333333332</v>
      </c>
      <c r="BA13" s="113">
        <f t="shared" si="1"/>
        <v>0</v>
      </c>
      <c r="BB13" s="113">
        <f t="shared" si="1"/>
        <v>0</v>
      </c>
      <c r="BC13" s="113">
        <f t="shared" si="1"/>
        <v>0</v>
      </c>
      <c r="BD13" s="113">
        <f t="shared" si="1"/>
        <v>0</v>
      </c>
      <c r="BE13" s="113">
        <f t="shared" si="1"/>
        <v>0</v>
      </c>
      <c r="BF13" s="112">
        <f t="shared" si="1"/>
        <v>0.13800000000000001</v>
      </c>
      <c r="BG13" s="112">
        <f t="shared" si="1"/>
        <v>0.18216666666666667</v>
      </c>
      <c r="BH13" s="112">
        <f t="shared" si="1"/>
        <v>1.4E-2</v>
      </c>
      <c r="BI13" s="112">
        <f t="shared" si="1"/>
        <v>0</v>
      </c>
      <c r="BJ13" s="112">
        <f t="shared" si="1"/>
        <v>0.33416666666666667</v>
      </c>
      <c r="BK13" s="113">
        <f t="shared" si="1"/>
        <v>16</v>
      </c>
      <c r="BL13" s="113">
        <f t="shared" si="1"/>
        <v>6.166666666666667</v>
      </c>
      <c r="BM13" s="113">
        <f t="shared" si="1"/>
        <v>1</v>
      </c>
      <c r="BN13" s="113">
        <f t="shared" si="1"/>
        <v>0</v>
      </c>
      <c r="BO13" s="113">
        <f t="shared" si="1"/>
        <v>23.166666666666668</v>
      </c>
      <c r="BP13" s="112">
        <f t="shared" si="1"/>
        <v>0</v>
      </c>
      <c r="BQ13" s="112">
        <f t="shared" si="1"/>
        <v>0</v>
      </c>
      <c r="BR13" s="112">
        <f t="shared" si="1"/>
        <v>0</v>
      </c>
      <c r="BS13" s="112">
        <f t="shared" si="1"/>
        <v>0</v>
      </c>
      <c r="BT13" s="112">
        <f t="shared" ref="BT13:CI13" si="2">AVERAGE(BT7:BT12)</f>
        <v>0</v>
      </c>
      <c r="BU13" s="113">
        <f t="shared" si="2"/>
        <v>93.434333333333328</v>
      </c>
      <c r="BV13" s="113">
        <f t="shared" si="2"/>
        <v>19.235833333333332</v>
      </c>
      <c r="BW13" s="113">
        <f t="shared" si="2"/>
        <v>0.27899999999999997</v>
      </c>
      <c r="BX13" s="113">
        <f t="shared" si="2"/>
        <v>0</v>
      </c>
      <c r="BY13" s="113">
        <f t="shared" si="2"/>
        <v>112.94916666666667</v>
      </c>
      <c r="BZ13" s="113">
        <f t="shared" si="2"/>
        <v>12400.5</v>
      </c>
      <c r="CA13" s="113">
        <f t="shared" si="2"/>
        <v>1108.3333333333333</v>
      </c>
      <c r="CB13" s="112">
        <f t="shared" si="2"/>
        <v>7</v>
      </c>
      <c r="CC13" s="112">
        <f t="shared" si="2"/>
        <v>0</v>
      </c>
      <c r="CD13" s="113">
        <f t="shared" si="2"/>
        <v>13515.833333333334</v>
      </c>
      <c r="CE13" s="113">
        <f t="shared" si="2"/>
        <v>0</v>
      </c>
      <c r="CF13" s="113">
        <f t="shared" si="2"/>
        <v>0</v>
      </c>
      <c r="CG13" s="113">
        <f t="shared" si="2"/>
        <v>0</v>
      </c>
      <c r="CH13" s="113">
        <f t="shared" si="2"/>
        <v>0</v>
      </c>
      <c r="CI13" s="113">
        <f t="shared" si="2"/>
        <v>0</v>
      </c>
    </row>
    <row r="14" spans="1:87" ht="15.6" x14ac:dyDescent="0.3">
      <c r="A14" s="114" t="s">
        <v>401</v>
      </c>
    </row>
    <row r="15" spans="1:87" s="4" customFormat="1" x14ac:dyDescent="0.3">
      <c r="A15" s="117"/>
      <c r="B15" s="197" t="s">
        <v>391</v>
      </c>
      <c r="C15" s="117" t="s">
        <v>392</v>
      </c>
      <c r="D15" s="117" t="s">
        <v>393</v>
      </c>
      <c r="E15" s="117" t="s">
        <v>394</v>
      </c>
      <c r="F15" s="117" t="s">
        <v>402</v>
      </c>
    </row>
    <row r="16" spans="1:87" x14ac:dyDescent="0.3">
      <c r="A16" s="35" t="s">
        <v>403</v>
      </c>
      <c r="B16" s="198">
        <f>M13/H13</f>
        <v>132.6041022377467</v>
      </c>
      <c r="C16" s="93">
        <f>N13/I13</f>
        <v>57.52932936438453</v>
      </c>
      <c r="D16" s="93">
        <f>O13/J13</f>
        <v>22.641509433962259</v>
      </c>
      <c r="E16" s="118">
        <v>0</v>
      </c>
      <c r="F16" s="93">
        <f>Q13/L13</f>
        <v>119.64538544931075</v>
      </c>
      <c r="G16" s="243" t="s">
        <v>404</v>
      </c>
    </row>
    <row r="17" spans="1:7" x14ac:dyDescent="0.3">
      <c r="A17" s="35" t="s">
        <v>328</v>
      </c>
      <c r="B17" s="198">
        <f>AV13/AQ13</f>
        <v>340.42553191489361</v>
      </c>
      <c r="C17" s="93">
        <f>AW13/AR13</f>
        <v>411.76470588235293</v>
      </c>
      <c r="D17" s="118">
        <v>0</v>
      </c>
      <c r="E17" s="118">
        <v>0</v>
      </c>
      <c r="F17" s="93">
        <f>AZ13/AU13</f>
        <v>355.64853556485349</v>
      </c>
      <c r="G17" s="12"/>
    </row>
    <row r="18" spans="1:7" x14ac:dyDescent="0.3">
      <c r="A18" s="35" t="s">
        <v>323</v>
      </c>
      <c r="B18" s="198">
        <f>BK13/BF13</f>
        <v>115.94202898550724</v>
      </c>
      <c r="C18" s="93">
        <f>BL13/BG13</f>
        <v>33.851784080512353</v>
      </c>
      <c r="D18" s="93">
        <f>BM13/BH13</f>
        <v>71.428571428571431</v>
      </c>
      <c r="E18" s="118">
        <v>0</v>
      </c>
      <c r="F18" s="93">
        <f>BO13/BJ13</f>
        <v>69.326683291770578</v>
      </c>
      <c r="G18" s="243" t="s">
        <v>405</v>
      </c>
    </row>
    <row r="19" spans="1:7" x14ac:dyDescent="0.3">
      <c r="A19" s="35" t="s">
        <v>30</v>
      </c>
      <c r="B19" s="198">
        <f>BZ13/BU13</f>
        <v>132.71887921285182</v>
      </c>
      <c r="C19" s="93">
        <f>CA13/BV13</f>
        <v>57.618160551054892</v>
      </c>
      <c r="D19" s="93">
        <f>CB13/BW13</f>
        <v>25.089605734767026</v>
      </c>
      <c r="E19" s="118">
        <v>0</v>
      </c>
      <c r="F19" s="93">
        <f>CD13/BY13</f>
        <v>119.66297523222099</v>
      </c>
      <c r="G19" s="12"/>
    </row>
    <row r="21" spans="1:7" x14ac:dyDescent="0.3">
      <c r="C21" s="11"/>
      <c r="D21" s="11"/>
      <c r="E21" s="11"/>
      <c r="F21" s="11"/>
    </row>
    <row r="22" spans="1:7" x14ac:dyDescent="0.3">
      <c r="C22" s="11"/>
      <c r="D22" s="11"/>
      <c r="E22" s="11"/>
      <c r="F22" s="11"/>
    </row>
    <row r="23" spans="1:7" x14ac:dyDescent="0.3">
      <c r="C23" s="11"/>
      <c r="D23" s="11"/>
      <c r="E23" s="11"/>
      <c r="F23" s="11"/>
    </row>
    <row r="24" spans="1:7" x14ac:dyDescent="0.3">
      <c r="C24" s="11"/>
      <c r="D24" s="11"/>
      <c r="E24" s="11"/>
      <c r="F24" s="11"/>
    </row>
  </sheetData>
  <mergeCells count="22">
    <mergeCell ref="BK5:BO5"/>
    <mergeCell ref="AL5:AP5"/>
    <mergeCell ref="AQ5:AU5"/>
    <mergeCell ref="AV5:AZ5"/>
    <mergeCell ref="BA5:BE5"/>
    <mergeCell ref="BF5:BJ5"/>
    <mergeCell ref="AQ4:BE4"/>
    <mergeCell ref="BF4:BT4"/>
    <mergeCell ref="BU4:CI4"/>
    <mergeCell ref="A5:F5"/>
    <mergeCell ref="G5:L5"/>
    <mergeCell ref="M5:Q5"/>
    <mergeCell ref="R5:V5"/>
    <mergeCell ref="W5:AA5"/>
    <mergeCell ref="AB5:AF5"/>
    <mergeCell ref="AG5:AK5"/>
    <mergeCell ref="A4:F4"/>
    <mergeCell ref="G4:AP4"/>
    <mergeCell ref="BP5:BT5"/>
    <mergeCell ref="BU5:BY5"/>
    <mergeCell ref="BZ5:CD5"/>
    <mergeCell ref="CE5:CI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L31"/>
  <sheetViews>
    <sheetView topLeftCell="AA7" workbookViewId="0">
      <selection activeCell="AI22" sqref="AI22"/>
    </sheetView>
  </sheetViews>
  <sheetFormatPr defaultRowHeight="14.4" x14ac:dyDescent="0.3"/>
  <cols>
    <col min="2" max="2" width="52" bestFit="1" customWidth="1"/>
    <col min="3" max="3" width="14.6640625" customWidth="1"/>
    <col min="4" max="4" width="12.33203125" customWidth="1"/>
    <col min="5" max="5" width="11" customWidth="1"/>
    <col min="6" max="6" width="3.44140625" customWidth="1"/>
    <col min="7" max="14" width="12" customWidth="1"/>
    <col min="15" max="15" width="3.44140625" customWidth="1"/>
    <col min="16" max="26" width="14.33203125" customWidth="1"/>
    <col min="27" max="27" width="3.44140625" customWidth="1"/>
    <col min="28" max="38" width="14.33203125" customWidth="1"/>
  </cols>
  <sheetData>
    <row r="1" spans="1:38" s="45" customFormat="1" ht="36" customHeight="1" x14ac:dyDescent="0.5">
      <c r="A1" s="137" t="s">
        <v>122</v>
      </c>
      <c r="B1" s="43"/>
      <c r="C1" s="44"/>
      <c r="D1" s="43"/>
      <c r="E1" s="43"/>
      <c r="G1" s="137" t="s">
        <v>123</v>
      </c>
      <c r="I1" s="46"/>
      <c r="J1" s="46"/>
      <c r="K1" s="46"/>
      <c r="L1" s="46"/>
      <c r="M1" s="46"/>
      <c r="N1" s="46"/>
      <c r="P1" s="137" t="s">
        <v>124</v>
      </c>
      <c r="AB1" s="137" t="s">
        <v>125</v>
      </c>
      <c r="AG1" s="47"/>
    </row>
    <row r="2" spans="1:38" s="49" customFormat="1" x14ac:dyDescent="0.3">
      <c r="A2" s="48"/>
      <c r="B2" s="48"/>
      <c r="C2" s="48"/>
      <c r="D2" s="48"/>
      <c r="E2" s="48"/>
      <c r="G2" s="48"/>
      <c r="I2" s="50"/>
      <c r="J2" s="50"/>
      <c r="K2" s="50"/>
      <c r="L2" s="50"/>
      <c r="M2" s="50"/>
      <c r="N2" s="50"/>
      <c r="P2" s="48"/>
      <c r="AB2" s="48"/>
    </row>
    <row r="3" spans="1:38" s="49" customFormat="1" x14ac:dyDescent="0.3">
      <c r="A3" s="48"/>
      <c r="B3" s="48"/>
      <c r="C3" s="98" t="s">
        <v>126</v>
      </c>
      <c r="D3" s="119">
        <f>SUM(G4:N4)</f>
        <v>8</v>
      </c>
      <c r="E3" s="120"/>
      <c r="F3" s="68"/>
      <c r="G3" s="122">
        <f t="shared" ref="G3:N3" si="0">G4/$D$3</f>
        <v>0.125</v>
      </c>
      <c r="H3" s="123">
        <f t="shared" si="0"/>
        <v>0.125</v>
      </c>
      <c r="I3" s="123">
        <f t="shared" si="0"/>
        <v>0.125</v>
      </c>
      <c r="J3" s="123">
        <f t="shared" si="0"/>
        <v>0.125</v>
      </c>
      <c r="K3" s="123">
        <f t="shared" si="0"/>
        <v>0.125</v>
      </c>
      <c r="L3" s="123">
        <f t="shared" si="0"/>
        <v>0.125</v>
      </c>
      <c r="M3" s="123">
        <f t="shared" si="0"/>
        <v>0.125</v>
      </c>
      <c r="N3" s="124">
        <f t="shared" si="0"/>
        <v>0.125</v>
      </c>
      <c r="P3" s="48"/>
      <c r="AB3" s="48"/>
    </row>
    <row r="4" spans="1:38" s="49" customFormat="1" x14ac:dyDescent="0.3">
      <c r="A4" s="48"/>
      <c r="B4" s="48"/>
      <c r="C4" s="67" t="s">
        <v>127</v>
      </c>
      <c r="D4" s="255" t="s">
        <v>407</v>
      </c>
      <c r="E4" s="97"/>
      <c r="F4" s="69"/>
      <c r="G4" s="121">
        <v>1</v>
      </c>
      <c r="H4" s="82">
        <v>1</v>
      </c>
      <c r="I4" s="82">
        <v>1</v>
      </c>
      <c r="J4" s="82">
        <v>1</v>
      </c>
      <c r="K4" s="82">
        <v>1</v>
      </c>
      <c r="L4" s="82">
        <v>1</v>
      </c>
      <c r="M4" s="82">
        <v>1</v>
      </c>
      <c r="N4" s="83">
        <v>1</v>
      </c>
      <c r="P4" s="48"/>
      <c r="AB4" s="48"/>
    </row>
    <row r="5" spans="1:38" s="10" customFormat="1" ht="74.25" customHeight="1" x14ac:dyDescent="0.3">
      <c r="A5" s="226" t="s">
        <v>128</v>
      </c>
      <c r="B5" s="227"/>
      <c r="C5" s="39" t="s">
        <v>129</v>
      </c>
      <c r="D5" s="39" t="s">
        <v>130</v>
      </c>
      <c r="E5" s="39" t="s">
        <v>406</v>
      </c>
      <c r="G5" s="66" t="s">
        <v>131</v>
      </c>
      <c r="H5" s="66" t="s">
        <v>132</v>
      </c>
      <c r="I5" s="66" t="s">
        <v>133</v>
      </c>
      <c r="J5" s="66" t="s">
        <v>134</v>
      </c>
      <c r="K5" s="66" t="s">
        <v>135</v>
      </c>
      <c r="L5" s="66" t="s">
        <v>136</v>
      </c>
      <c r="M5" s="66" t="s">
        <v>137</v>
      </c>
      <c r="N5" s="66" t="s">
        <v>138</v>
      </c>
      <c r="P5" s="52" t="s">
        <v>131</v>
      </c>
      <c r="Q5" s="52" t="s">
        <v>139</v>
      </c>
      <c r="R5" s="52" t="s">
        <v>140</v>
      </c>
      <c r="S5" s="52" t="s">
        <v>141</v>
      </c>
      <c r="T5" s="52" t="s">
        <v>133</v>
      </c>
      <c r="U5" s="52" t="s">
        <v>142</v>
      </c>
      <c r="V5" s="52" t="s">
        <v>134</v>
      </c>
      <c r="W5" s="52" t="s">
        <v>135</v>
      </c>
      <c r="X5" s="52" t="s">
        <v>136</v>
      </c>
      <c r="Y5" s="52" t="s">
        <v>137</v>
      </c>
      <c r="Z5" s="52" t="s">
        <v>138</v>
      </c>
      <c r="AB5" s="53" t="s">
        <v>143</v>
      </c>
      <c r="AC5" s="53" t="s">
        <v>144</v>
      </c>
      <c r="AD5" s="53" t="s">
        <v>145</v>
      </c>
      <c r="AE5" s="53" t="s">
        <v>146</v>
      </c>
      <c r="AF5" s="53" t="s">
        <v>147</v>
      </c>
      <c r="AG5" s="53" t="s">
        <v>148</v>
      </c>
      <c r="AH5" s="53" t="s">
        <v>149</v>
      </c>
      <c r="AI5" s="53" t="s">
        <v>150</v>
      </c>
      <c r="AJ5" s="53" t="s">
        <v>151</v>
      </c>
      <c r="AK5" s="53" t="s">
        <v>152</v>
      </c>
      <c r="AL5" s="53" t="s">
        <v>153</v>
      </c>
    </row>
    <row r="6" spans="1:38" s="7" customFormat="1" x14ac:dyDescent="0.3">
      <c r="A6" s="228">
        <f t="array" ref="A6:B28">Aurora_Output!AM3:AN25</f>
        <v>1</v>
      </c>
      <c r="B6" s="229" t="str">
        <v>Reference</v>
      </c>
      <c r="C6" s="230">
        <f>SUMPRODUCT($G$3:$N$3,G6:N6)</f>
        <v>0</v>
      </c>
      <c r="D6" s="232">
        <f>AG6-AG$6</f>
        <v>0</v>
      </c>
      <c r="E6" s="90">
        <f>C6/(AG6/100)+1</f>
        <v>1</v>
      </c>
      <c r="G6" s="89">
        <f>AVERAGE(P6)</f>
        <v>0</v>
      </c>
      <c r="H6" s="89">
        <f>AVERAGE(Q6:S6)</f>
        <v>0</v>
      </c>
      <c r="I6" s="89">
        <f>AVERAGE(T6)</f>
        <v>0</v>
      </c>
      <c r="J6" s="89">
        <f>AVERAGE(V6)</f>
        <v>0</v>
      </c>
      <c r="K6" s="89">
        <f>AVERAGE(W6)</f>
        <v>0</v>
      </c>
      <c r="L6" s="89">
        <f>AVERAGE(X6)</f>
        <v>0</v>
      </c>
      <c r="M6" s="89">
        <f>AVERAGE(Y6)</f>
        <v>0</v>
      </c>
      <c r="N6" s="89">
        <f>AVERAGE(Z6)</f>
        <v>0</v>
      </c>
      <c r="P6" s="92">
        <f t="shared" ref="P6:P25" si="1">IFERROR(-(AB6-AB$6)/_xlfn.STDEV.P(AB$6:AB$25),0)</f>
        <v>0</v>
      </c>
      <c r="Q6" s="92">
        <f t="shared" ref="Q6:Q25" si="2">IFERROR(-(AC6-AC$6)/_xlfn.STDEV.P(AC$6:AC$25),0)</f>
        <v>0</v>
      </c>
      <c r="R6" s="92">
        <f t="shared" ref="R6:R25" si="3">IFERROR(-(AD6-AD$6)/_xlfn.STDEV.P(AD$6:AD$25),0)</f>
        <v>0</v>
      </c>
      <c r="S6" s="92">
        <f t="shared" ref="S6:S25" si="4">IFERROR(-(AE6-AE$6)/_xlfn.STDEV.P(AE$6:AE$25),0)</f>
        <v>0</v>
      </c>
      <c r="T6" s="92">
        <f t="shared" ref="T6:T25" si="5">IFERROR((AF6-AF$6)/_xlfn.STDEV.P(AF$6:AF$25),0)</f>
        <v>0</v>
      </c>
      <c r="U6" s="92">
        <f t="shared" ref="U6:U25" si="6">IFERROR(-(AG6-AG$6)/_xlfn.STDEV.P(AG$6:AG$25),0)</f>
        <v>0</v>
      </c>
      <c r="V6" s="92">
        <f t="shared" ref="V6:V25" si="7">IFERROR((AH6-AH$6)/_xlfn.STDEV.P(AH$6:AH$25),0)</f>
        <v>0</v>
      </c>
      <c r="W6" s="92">
        <f t="shared" ref="W6:W25" si="8">IFERROR((AI6-AI$6)/_xlfn.STDEV.P(AI$6:AI$25),0)</f>
        <v>0</v>
      </c>
      <c r="X6" s="92">
        <f t="shared" ref="X6:X25" si="9">IFERROR((AJ6-AJ$6)/_xlfn.STDEV.P(AJ$6:AJ$25),0)</f>
        <v>0</v>
      </c>
      <c r="Y6" s="92">
        <f t="shared" ref="Y6:Y25" si="10">IFERROR((AK6-AK$6)/_xlfn.STDEV.P(AK$6:AK$25),0)</f>
        <v>0</v>
      </c>
      <c r="Z6" s="92">
        <f t="shared" ref="Z6:Z25" si="11">IFERROR((AL6-AL$6)/_xlfn.STDEV.P(AL$6:AL$25),0)</f>
        <v>0</v>
      </c>
      <c r="AB6" s="94">
        <f>Emissions_All!C3</f>
        <v>48824734.426647402</v>
      </c>
      <c r="AC6" s="94">
        <f>Emissions_All!D3</f>
        <v>28840.81857740361</v>
      </c>
      <c r="AD6" s="94">
        <f>Emissions_All!E3</f>
        <v>11425.574821060523</v>
      </c>
      <c r="AE6" s="94">
        <f>Emissions_All!F3</f>
        <v>9035.9538655191427</v>
      </c>
      <c r="AF6" s="94">
        <f>Jobs_Creation!C2</f>
        <v>45736</v>
      </c>
      <c r="AG6" s="231">
        <f>PortfolioCost!D2/10^9</f>
        <v>20.84664822817858</v>
      </c>
      <c r="AH6" s="94">
        <f>DR_Peak_Capacity!C2</f>
        <v>290.73254120678473</v>
      </c>
      <c r="AI6" s="94">
        <f>DER_Solar_Participation!C2</f>
        <v>12115.291757981862</v>
      </c>
      <c r="AJ6" s="94">
        <f>EE_Added!C2</f>
        <v>695.07371999999998</v>
      </c>
      <c r="AK6" s="94">
        <f>DR_Participation!C2</f>
        <v>513238.44362529379</v>
      </c>
      <c r="AL6" s="94">
        <f>DER_Storage_Participation!C2</f>
        <v>8125.0872024574201</v>
      </c>
    </row>
    <row r="7" spans="1:38" s="7" customFormat="1" x14ac:dyDescent="0.3">
      <c r="A7" s="228">
        <v>2</v>
      </c>
      <c r="B7" s="229" t="str">
        <v>DSM Bundle 10</v>
      </c>
      <c r="C7" s="230">
        <f>SUMPRODUCT($G$3:$N$3,G7:N7)</f>
        <v>0.14407104590263572</v>
      </c>
      <c r="D7" s="232">
        <f>AG7-AG$6</f>
        <v>0.80715076976326827</v>
      </c>
      <c r="E7" s="90">
        <f>C7/(AG7/100)+1</f>
        <v>1.6653384282191288</v>
      </c>
      <c r="G7" s="89">
        <f t="shared" ref="G7:G24" si="12">AVERAGE(P7)</f>
        <v>0.26314606837243371</v>
      </c>
      <c r="H7" s="89">
        <f t="shared" ref="H7:H24" si="13">AVERAGE(Q7:S7)</f>
        <v>0.32779839392593496</v>
      </c>
      <c r="I7" s="89">
        <f t="shared" ref="I7:I24" si="14">AVERAGE(T7)</f>
        <v>-8.0935785623254403E-2</v>
      </c>
      <c r="J7" s="89">
        <f t="shared" ref="J7:J24" si="15">AVERAGE(V7)</f>
        <v>-1.5974118735733673</v>
      </c>
      <c r="K7" s="89">
        <f t="shared" ref="K7:K24" si="16">AVERAGE(W7)</f>
        <v>0</v>
      </c>
      <c r="L7" s="89">
        <f t="shared" ref="L7:L24" si="17">AVERAGE(X7)</f>
        <v>3.205244303145216</v>
      </c>
      <c r="M7" s="89">
        <f t="shared" ref="M7:M24" si="18">AVERAGE(Y7)</f>
        <v>-0.96527273902587685</v>
      </c>
      <c r="N7" s="89">
        <f t="shared" ref="N7:N24" si="19">AVERAGE(Z7)</f>
        <v>0</v>
      </c>
      <c r="P7" s="92">
        <f t="shared" si="1"/>
        <v>0.26314606837243371</v>
      </c>
      <c r="Q7" s="92">
        <f t="shared" si="2"/>
        <v>0.2736774076450294</v>
      </c>
      <c r="R7" s="92">
        <f t="shared" si="3"/>
        <v>0.41317082390697335</v>
      </c>
      <c r="S7" s="92">
        <f t="shared" si="4"/>
        <v>0.29654695022580196</v>
      </c>
      <c r="T7" s="92">
        <f t="shared" si="5"/>
        <v>-8.0935785623254403E-2</v>
      </c>
      <c r="U7" s="92">
        <f t="shared" si="6"/>
        <v>-0.65367435666316598</v>
      </c>
      <c r="V7" s="92">
        <f t="shared" si="7"/>
        <v>-1.5974118735733673</v>
      </c>
      <c r="W7" s="92">
        <f t="shared" si="8"/>
        <v>0</v>
      </c>
      <c r="X7" s="92">
        <f t="shared" si="9"/>
        <v>3.205244303145216</v>
      </c>
      <c r="Y7" s="92">
        <f t="shared" si="10"/>
        <v>-0.96527273902587685</v>
      </c>
      <c r="Z7" s="92">
        <f t="shared" si="11"/>
        <v>0</v>
      </c>
      <c r="AB7" s="94">
        <f>Emissions_All!C4</f>
        <v>46015276.267476037</v>
      </c>
      <c r="AC7" s="94">
        <f>Emissions_All!D4</f>
        <v>28789.308361614763</v>
      </c>
      <c r="AD7" s="94">
        <f>Emissions_All!E4</f>
        <v>10926.103431843221</v>
      </c>
      <c r="AE7" s="94">
        <f>Emissions_All!F4</f>
        <v>8969.8310538541991</v>
      </c>
      <c r="AF7" s="94">
        <f>Jobs_Creation!C3</f>
        <v>44753</v>
      </c>
      <c r="AG7" s="231">
        <f>PortfolioCost!D3/10^9</f>
        <v>21.653798997941848</v>
      </c>
      <c r="AH7" s="94">
        <f>DR_Peak_Capacity!C3</f>
        <v>258.51667795075838</v>
      </c>
      <c r="AI7" s="94">
        <f>DER_Solar_Participation!C3</f>
        <v>12115.291757981862</v>
      </c>
      <c r="AJ7" s="94">
        <f>EE_Added!C3</f>
        <v>922.68937399999993</v>
      </c>
      <c r="AK7" s="94">
        <f>DR_Participation!C3</f>
        <v>388130.08449216688</v>
      </c>
      <c r="AL7" s="94">
        <f>DER_Storage_Participation!C3</f>
        <v>8125.0872024574201</v>
      </c>
    </row>
    <row r="8" spans="1:38" s="7" customFormat="1" x14ac:dyDescent="0.3">
      <c r="A8" s="228">
        <v>3</v>
      </c>
      <c r="B8" s="229" t="str">
        <v>DSM Bundle 7</v>
      </c>
      <c r="C8" s="230">
        <f t="shared" ref="C8:C18" si="20">SUMPRODUCT($G$3:$N$3,G8:N8)</f>
        <v>0.43795074930463179</v>
      </c>
      <c r="D8" s="232">
        <f t="shared" ref="D8:D18" si="21">AG8-AG$6</f>
        <v>1.2905691099657446E-2</v>
      </c>
      <c r="E8" s="90">
        <f>C8/(AG8/100)+1</f>
        <v>3.0995211642559677</v>
      </c>
      <c r="G8" s="89">
        <f t="shared" si="12"/>
        <v>0.47313665061593213</v>
      </c>
      <c r="H8" s="89">
        <f t="shared" si="13"/>
        <v>0.44226844796238729</v>
      </c>
      <c r="I8" s="89">
        <f t="shared" si="14"/>
        <v>0.24659478936078019</v>
      </c>
      <c r="J8" s="89">
        <f t="shared" si="15"/>
        <v>-0.26273453760415011</v>
      </c>
      <c r="K8" s="89">
        <f t="shared" si="16"/>
        <v>0</v>
      </c>
      <c r="L8" s="89">
        <f t="shared" si="17"/>
        <v>1.7356026191847542</v>
      </c>
      <c r="M8" s="89">
        <f t="shared" si="18"/>
        <v>0.86873802491735086</v>
      </c>
      <c r="N8" s="89">
        <f t="shared" si="19"/>
        <v>0</v>
      </c>
      <c r="P8" s="92">
        <f t="shared" si="1"/>
        <v>0.47313665061593213</v>
      </c>
      <c r="Q8" s="92">
        <f t="shared" si="2"/>
        <v>0.28029948298068824</v>
      </c>
      <c r="R8" s="92">
        <f t="shared" si="3"/>
        <v>0.55978811024201514</v>
      </c>
      <c r="S8" s="92">
        <f t="shared" si="4"/>
        <v>0.48671775066445838</v>
      </c>
      <c r="T8" s="92">
        <f t="shared" si="5"/>
        <v>0.24659478936078019</v>
      </c>
      <c r="U8" s="92">
        <f t="shared" si="6"/>
        <v>-1.0451726793665059E-2</v>
      </c>
      <c r="V8" s="92">
        <f t="shared" si="7"/>
        <v>-0.26273453760415011</v>
      </c>
      <c r="W8" s="92">
        <f t="shared" si="8"/>
        <v>0</v>
      </c>
      <c r="X8" s="92">
        <f t="shared" si="9"/>
        <v>1.7356026191847542</v>
      </c>
      <c r="Y8" s="92">
        <f t="shared" si="10"/>
        <v>0.86873802491735086</v>
      </c>
      <c r="Z8" s="92">
        <f t="shared" si="11"/>
        <v>0</v>
      </c>
      <c r="AB8" s="94">
        <f>Emissions_All!C5</f>
        <v>43773328.446320809</v>
      </c>
      <c r="AC8" s="94">
        <f>Emissions_All!D5</f>
        <v>28788.061987160821</v>
      </c>
      <c r="AD8" s="94">
        <f>Emissions_All!E5</f>
        <v>10748.861633894965</v>
      </c>
      <c r="AE8" s="94">
        <f>Emissions_All!F5</f>
        <v>8927.4275558178779</v>
      </c>
      <c r="AF8" s="94">
        <f>Jobs_Creation!C4</f>
        <v>48731</v>
      </c>
      <c r="AG8" s="231">
        <f>PortfolioCost!D4/10^9</f>
        <v>20.859553919278238</v>
      </c>
      <c r="AH8" s="94">
        <f>DR_Peak_Capacity!C4</f>
        <v>285.43383266697879</v>
      </c>
      <c r="AI8" s="94">
        <f>DER_Solar_Participation!C4</f>
        <v>12115.291757981862</v>
      </c>
      <c r="AJ8" s="94">
        <f>EE_Added!C4</f>
        <v>818.32495699999993</v>
      </c>
      <c r="AK8" s="94">
        <f>DR_Participation!C4</f>
        <v>625835.0025249538</v>
      </c>
      <c r="AL8" s="94">
        <f>DER_Storage_Participation!C4</f>
        <v>8125.0872024574201</v>
      </c>
    </row>
    <row r="9" spans="1:38" s="7" customFormat="1" x14ac:dyDescent="0.3">
      <c r="A9" s="228">
        <v>4</v>
      </c>
      <c r="B9" s="229" t="str">
        <v>DER Solar</v>
      </c>
      <c r="C9" s="230">
        <f t="shared" si="20"/>
        <v>4.3621905399316138E-2</v>
      </c>
      <c r="D9" s="232">
        <f t="shared" si="21"/>
        <v>0.23056094343969846</v>
      </c>
      <c r="E9" s="90">
        <f>C9/(AG9/100)+1</f>
        <v>1.2069624353211603</v>
      </c>
      <c r="G9" s="89">
        <f t="shared" si="12"/>
        <v>0.29368047119387625</v>
      </c>
      <c r="H9" s="89">
        <f t="shared" si="13"/>
        <v>0.30286277353504737</v>
      </c>
      <c r="I9" s="89">
        <f t="shared" si="14"/>
        <v>-7.0314507550619784E-2</v>
      </c>
      <c r="J9" s="89">
        <f t="shared" si="15"/>
        <v>-1.4745888096474749</v>
      </c>
      <c r="K9" s="89">
        <f t="shared" si="16"/>
        <v>2.2504256964390645</v>
      </c>
      <c r="L9" s="89">
        <f t="shared" si="17"/>
        <v>0</v>
      </c>
      <c r="M9" s="89">
        <f t="shared" si="18"/>
        <v>-0.95309038077536445</v>
      </c>
      <c r="N9" s="89">
        <f t="shared" si="19"/>
        <v>0</v>
      </c>
      <c r="P9" s="92">
        <f t="shared" si="1"/>
        <v>0.29368047119387625</v>
      </c>
      <c r="Q9" s="92">
        <f t="shared" si="2"/>
        <v>0.37641852191505493</v>
      </c>
      <c r="R9" s="92">
        <f t="shared" si="3"/>
        <v>0.23947734954929994</v>
      </c>
      <c r="S9" s="92">
        <f t="shared" si="4"/>
        <v>0.29269244914078729</v>
      </c>
      <c r="T9" s="92">
        <f t="shared" si="5"/>
        <v>-7.0314507550619784E-2</v>
      </c>
      <c r="U9" s="92">
        <f t="shared" si="6"/>
        <v>-0.18672072433109396</v>
      </c>
      <c r="V9" s="92">
        <f t="shared" si="7"/>
        <v>-1.4745888096474749</v>
      </c>
      <c r="W9" s="92">
        <f t="shared" si="8"/>
        <v>2.2504256964390645</v>
      </c>
      <c r="X9" s="92">
        <f t="shared" si="9"/>
        <v>0</v>
      </c>
      <c r="Y9" s="92">
        <f t="shared" si="10"/>
        <v>-0.95309038077536445</v>
      </c>
      <c r="Z9" s="92">
        <f t="shared" si="11"/>
        <v>0</v>
      </c>
      <c r="AB9" s="94">
        <f>Emissions_All!C6</f>
        <v>45689278.133919604</v>
      </c>
      <c r="AC9" s="94">
        <f>Emissions_All!D6</f>
        <v>28769.97093434236</v>
      </c>
      <c r="AD9" s="94">
        <f>Emissions_All!E6</f>
        <v>11136.076924441382</v>
      </c>
      <c r="AE9" s="94">
        <f>Emissions_All!F6</f>
        <v>8970.690514553804</v>
      </c>
      <c r="AF9" s="94">
        <f>Jobs_Creation!C5</f>
        <v>44882</v>
      </c>
      <c r="AG9" s="231">
        <f>PortfolioCost!D5/10^9</f>
        <v>21.077209171618279</v>
      </c>
      <c r="AH9" s="94">
        <f>DR_Peak_Capacity!C5</f>
        <v>260.99371665166109</v>
      </c>
      <c r="AI9" s="94">
        <f>DER_Solar_Participation!C5</f>
        <v>83902.523027568313</v>
      </c>
      <c r="AJ9" s="94">
        <f>EE_Added!C5</f>
        <v>695.07371999999998</v>
      </c>
      <c r="AK9" s="94">
        <f>DR_Participation!C5</f>
        <v>389709.03186058794</v>
      </c>
      <c r="AL9" s="94">
        <f>DER_Storage_Participation!C5</f>
        <v>8125.0872024574201</v>
      </c>
    </row>
    <row r="10" spans="1:38" s="7" customFormat="1" x14ac:dyDescent="0.3">
      <c r="A10" s="228">
        <v>5</v>
      </c>
      <c r="B10" s="229" t="str">
        <v>DER Batteries</v>
      </c>
      <c r="C10" s="230">
        <f t="shared" si="20"/>
        <v>-8.4791467692201805E-3</v>
      </c>
      <c r="D10" s="232">
        <f t="shared" si="21"/>
        <v>-8.1398131296953835E-2</v>
      </c>
      <c r="E10" s="90">
        <f>C10/(AG10/100)+1</f>
        <v>0.9591666523174045</v>
      </c>
      <c r="G10" s="89">
        <f t="shared" si="12"/>
        <v>-7.8395598175317605E-2</v>
      </c>
      <c r="H10" s="89">
        <f t="shared" si="13"/>
        <v>0.17778672326297609</v>
      </c>
      <c r="I10" s="89">
        <f t="shared" si="14"/>
        <v>-7.9947759756032577E-2</v>
      </c>
      <c r="J10" s="89">
        <f t="shared" si="15"/>
        <v>-1.5974118735733673</v>
      </c>
      <c r="K10" s="89">
        <f t="shared" si="16"/>
        <v>0</v>
      </c>
      <c r="L10" s="89">
        <f t="shared" si="17"/>
        <v>0</v>
      </c>
      <c r="M10" s="89">
        <f t="shared" si="18"/>
        <v>-0.96527273902587685</v>
      </c>
      <c r="N10" s="89">
        <f t="shared" si="19"/>
        <v>2.4754080731138566</v>
      </c>
      <c r="P10" s="92">
        <f t="shared" si="1"/>
        <v>-7.8395598175317605E-2</v>
      </c>
      <c r="Q10" s="92">
        <f t="shared" si="2"/>
        <v>0.29090590698386537</v>
      </c>
      <c r="R10" s="92">
        <f t="shared" si="3"/>
        <v>0.17959701309270115</v>
      </c>
      <c r="S10" s="92">
        <f t="shared" si="4"/>
        <v>6.2857249712361757E-2</v>
      </c>
      <c r="T10" s="92">
        <f t="shared" si="5"/>
        <v>-7.9947759756032577E-2</v>
      </c>
      <c r="U10" s="92">
        <f t="shared" si="6"/>
        <v>6.5920610005396785E-2</v>
      </c>
      <c r="V10" s="92">
        <f t="shared" si="7"/>
        <v>-1.5974118735733673</v>
      </c>
      <c r="W10" s="92">
        <f t="shared" si="8"/>
        <v>0</v>
      </c>
      <c r="X10" s="92">
        <f t="shared" si="9"/>
        <v>0</v>
      </c>
      <c r="Y10" s="92">
        <f t="shared" si="10"/>
        <v>-0.96527273902587685</v>
      </c>
      <c r="Z10" s="92">
        <f t="shared" si="11"/>
        <v>2.4754080731138566</v>
      </c>
      <c r="AB10" s="94">
        <f>Emissions_All!C7</f>
        <v>49661718.822040476</v>
      </c>
      <c r="AC10" s="94">
        <f>Emissions_All!D7</f>
        <v>28786.065698194725</v>
      </c>
      <c r="AD10" s="94">
        <f>Emissions_All!E7</f>
        <v>11208.464695082977</v>
      </c>
      <c r="AE10" s="94">
        <f>Emissions_All!F7</f>
        <v>9021.9382161208196</v>
      </c>
      <c r="AF10" s="94">
        <f>Jobs_Creation!C6</f>
        <v>44765</v>
      </c>
      <c r="AG10" s="231">
        <f>PortfolioCost!D6/10^9</f>
        <v>20.765250096881626</v>
      </c>
      <c r="AH10" s="94">
        <f>DR_Peak_Capacity!C6</f>
        <v>258.51667795075838</v>
      </c>
      <c r="AI10" s="94">
        <f>DER_Solar_Participation!C6</f>
        <v>12115.291757981862</v>
      </c>
      <c r="AJ10" s="94">
        <f>EE_Added!C6</f>
        <v>695.07371999999998</v>
      </c>
      <c r="AK10" s="94">
        <f>DR_Participation!C6</f>
        <v>388130.08449216688</v>
      </c>
      <c r="AL10" s="94">
        <f>DER_Storage_Participation!C6</f>
        <v>18524.089696223007</v>
      </c>
    </row>
    <row r="11" spans="1:38" s="7" customFormat="1" x14ac:dyDescent="0.3">
      <c r="A11" s="228">
        <v>6</v>
      </c>
      <c r="B11" s="229" t="str">
        <v>MT Overbuild, PHES + All East Wind</v>
      </c>
      <c r="C11" s="230">
        <f t="shared" si="20"/>
        <v>-0.34192030849244059</v>
      </c>
      <c r="D11" s="232">
        <f t="shared" si="21"/>
        <v>2.7929332252533356E-2</v>
      </c>
      <c r="E11" s="90">
        <f>ABS(C11/(AG11/100)+1)</f>
        <v>0.63797474465097181</v>
      </c>
      <c r="G11" s="89">
        <f t="shared" si="12"/>
        <v>0.22996880732112585</v>
      </c>
      <c r="H11" s="89">
        <f t="shared" si="13"/>
        <v>0.30255680006817015</v>
      </c>
      <c r="I11" s="89">
        <f t="shared" si="14"/>
        <v>-0.70520346272957668</v>
      </c>
      <c r="J11" s="89">
        <f t="shared" si="15"/>
        <v>-1.5974118735733673</v>
      </c>
      <c r="K11" s="89">
        <f t="shared" si="16"/>
        <v>0</v>
      </c>
      <c r="L11" s="89">
        <f t="shared" si="17"/>
        <v>0</v>
      </c>
      <c r="M11" s="89">
        <f t="shared" si="18"/>
        <v>-0.96527273902587685</v>
      </c>
      <c r="N11" s="89">
        <f t="shared" si="19"/>
        <v>0</v>
      </c>
      <c r="P11" s="92">
        <f t="shared" si="1"/>
        <v>0.22996880732112585</v>
      </c>
      <c r="Q11" s="92">
        <f t="shared" si="2"/>
        <v>0.32646328858016788</v>
      </c>
      <c r="R11" s="92">
        <f t="shared" si="3"/>
        <v>0.2776207009497052</v>
      </c>
      <c r="S11" s="92">
        <f t="shared" si="4"/>
        <v>0.30358641067463732</v>
      </c>
      <c r="T11" s="92">
        <f t="shared" si="5"/>
        <v>-0.70520346272957668</v>
      </c>
      <c r="U11" s="92">
        <f t="shared" si="6"/>
        <v>-2.2618684112215015E-2</v>
      </c>
      <c r="V11" s="92">
        <f t="shared" si="7"/>
        <v>-1.5974118735733673</v>
      </c>
      <c r="W11" s="92">
        <f t="shared" si="8"/>
        <v>0</v>
      </c>
      <c r="X11" s="92">
        <f t="shared" si="9"/>
        <v>0</v>
      </c>
      <c r="Y11" s="92">
        <f t="shared" si="10"/>
        <v>-0.96527273902587685</v>
      </c>
      <c r="Z11" s="92">
        <f t="shared" si="11"/>
        <v>0</v>
      </c>
      <c r="AB11" s="94">
        <f>Emissions_All!C8</f>
        <v>46369490.667622931</v>
      </c>
      <c r="AC11" s="94">
        <f>Emissions_All!D8</f>
        <v>28779.373262693116</v>
      </c>
      <c r="AD11" s="94">
        <f>Emissions_All!E8</f>
        <v>11089.966425802559</v>
      </c>
      <c r="AE11" s="94">
        <f>Emissions_All!F8</f>
        <v>8968.2614240969997</v>
      </c>
      <c r="AF11" s="94">
        <f>Jobs_Creation!C7</f>
        <v>37171</v>
      </c>
      <c r="AG11" s="231">
        <f>PortfolioCost!D7/10^9</f>
        <v>20.874577560431113</v>
      </c>
      <c r="AH11" s="94">
        <f>DR_Peak_Capacity!C7</f>
        <v>258.51667795075838</v>
      </c>
      <c r="AI11" s="94">
        <f>DER_Solar_Participation!C7</f>
        <v>12115.291757981862</v>
      </c>
      <c r="AJ11" s="94">
        <f>EE_Added!C7</f>
        <v>695.07371999999998</v>
      </c>
      <c r="AK11" s="94">
        <f>DR_Participation!C7</f>
        <v>388130.08449216688</v>
      </c>
      <c r="AL11" s="94">
        <f>DER_Storage_Participation!C7</f>
        <v>8125.0872024574201</v>
      </c>
    </row>
    <row r="12" spans="1:38" s="7" customFormat="1" x14ac:dyDescent="0.3">
      <c r="A12" s="228">
        <v>7</v>
      </c>
      <c r="B12" s="229" t="str">
        <v>MT Overbuild, PHES + East, Central Wind</v>
      </c>
      <c r="C12" s="230">
        <f t="shared" si="20"/>
        <v>-0.26493148737481675</v>
      </c>
      <c r="D12" s="232">
        <f t="shared" si="21"/>
        <v>0.33588735219261423</v>
      </c>
      <c r="E12" s="90">
        <f>ABS(C12/(AG12/100)+1)</f>
        <v>0.25070715150982981</v>
      </c>
      <c r="G12" s="89">
        <f t="shared" si="12"/>
        <v>0.52900227090906637</v>
      </c>
      <c r="H12" s="89">
        <f t="shared" si="13"/>
        <v>0.31001713800291958</v>
      </c>
      <c r="I12" s="89">
        <f t="shared" si="14"/>
        <v>-0.39578669531127558</v>
      </c>
      <c r="J12" s="89">
        <f t="shared" si="15"/>
        <v>-1.5974118735733673</v>
      </c>
      <c r="K12" s="89">
        <f t="shared" si="16"/>
        <v>0</v>
      </c>
      <c r="L12" s="89">
        <f t="shared" si="17"/>
        <v>0</v>
      </c>
      <c r="M12" s="89">
        <f t="shared" si="18"/>
        <v>-0.96527273902587685</v>
      </c>
      <c r="N12" s="89">
        <f t="shared" si="19"/>
        <v>0</v>
      </c>
      <c r="P12" s="92">
        <f t="shared" si="1"/>
        <v>0.52900227090906637</v>
      </c>
      <c r="Q12" s="92">
        <f t="shared" si="2"/>
        <v>0.44149828161142191</v>
      </c>
      <c r="R12" s="92">
        <f t="shared" si="3"/>
        <v>2.8047222034561847E-2</v>
      </c>
      <c r="S12" s="92">
        <f t="shared" si="4"/>
        <v>0.46050591036277505</v>
      </c>
      <c r="T12" s="92">
        <f t="shared" si="5"/>
        <v>-0.39578669531127558</v>
      </c>
      <c r="U12" s="92">
        <f t="shared" si="6"/>
        <v>-0.27201974783496408</v>
      </c>
      <c r="V12" s="92">
        <f t="shared" si="7"/>
        <v>-1.5974118735733673</v>
      </c>
      <c r="W12" s="92">
        <f t="shared" si="8"/>
        <v>0</v>
      </c>
      <c r="X12" s="92">
        <f t="shared" si="9"/>
        <v>0</v>
      </c>
      <c r="Y12" s="92">
        <f t="shared" si="10"/>
        <v>-0.96527273902587685</v>
      </c>
      <c r="Z12" s="92">
        <f t="shared" si="11"/>
        <v>0</v>
      </c>
      <c r="AB12" s="94">
        <f>Emissions_All!C9</f>
        <v>43176883.575529203</v>
      </c>
      <c r="AC12" s="94">
        <f>Emissions_All!D9</f>
        <v>28757.721942018543</v>
      </c>
      <c r="AD12" s="94">
        <f>Emissions_All!E9</f>
        <v>11391.669268822297</v>
      </c>
      <c r="AE12" s="94">
        <f>Emissions_All!F9</f>
        <v>8933.2721634873888</v>
      </c>
      <c r="AF12" s="94">
        <f>Jobs_Creation!C8</f>
        <v>40929</v>
      </c>
      <c r="AG12" s="231">
        <f>PortfolioCost!D8/10^9</f>
        <v>21.182535580371194</v>
      </c>
      <c r="AH12" s="94">
        <f>DR_Peak_Capacity!C8</f>
        <v>258.51667795075838</v>
      </c>
      <c r="AI12" s="94">
        <f>DER_Solar_Participation!C8</f>
        <v>12115.291757981862</v>
      </c>
      <c r="AJ12" s="94">
        <f>EE_Added!C8</f>
        <v>695.07371999999998</v>
      </c>
      <c r="AK12" s="94">
        <f>DR_Participation!C8</f>
        <v>388130.08449216688</v>
      </c>
      <c r="AL12" s="94">
        <f>DER_Storage_Participation!C8</f>
        <v>8125.0872024574201</v>
      </c>
    </row>
    <row r="13" spans="1:38" s="7" customFormat="1" x14ac:dyDescent="0.3">
      <c r="A13" s="228">
        <v>8</v>
      </c>
      <c r="B13" s="229" t="str">
        <v>PNW PHES</v>
      </c>
      <c r="C13" s="230">
        <f t="shared" si="20"/>
        <v>-0.30137863362237943</v>
      </c>
      <c r="D13" s="232">
        <f t="shared" si="21"/>
        <v>0.4354148135018221</v>
      </c>
      <c r="E13" s="90">
        <f>ABS(C13/(AG13/100)+1)</f>
        <v>0.41611568874754634</v>
      </c>
      <c r="G13" s="89">
        <f t="shared" si="12"/>
        <v>0.16089497514853174</v>
      </c>
      <c r="H13" s="89">
        <f t="shared" si="13"/>
        <v>0.14883814883037874</v>
      </c>
      <c r="I13" s="89">
        <f t="shared" si="14"/>
        <v>-0.29130295985256771</v>
      </c>
      <c r="J13" s="89">
        <f t="shared" si="15"/>
        <v>-1.4763688523300136</v>
      </c>
      <c r="K13" s="89">
        <f t="shared" si="16"/>
        <v>0</v>
      </c>
      <c r="L13" s="89">
        <f t="shared" si="17"/>
        <v>0</v>
      </c>
      <c r="M13" s="89">
        <f t="shared" si="18"/>
        <v>-0.95309038077536445</v>
      </c>
      <c r="N13" s="89">
        <f t="shared" si="19"/>
        <v>0</v>
      </c>
      <c r="P13" s="92">
        <f t="shared" si="1"/>
        <v>0.16089497514853174</v>
      </c>
      <c r="Q13" s="92">
        <f t="shared" si="2"/>
        <v>0.18986445497890397</v>
      </c>
      <c r="R13" s="92">
        <f t="shared" si="3"/>
        <v>0.11592896909096106</v>
      </c>
      <c r="S13" s="92">
        <f t="shared" si="4"/>
        <v>0.14072102242127124</v>
      </c>
      <c r="T13" s="92">
        <f t="shared" si="5"/>
        <v>-0.29130295985256771</v>
      </c>
      <c r="U13" s="92">
        <f t="shared" si="6"/>
        <v>-0.35262247000135166</v>
      </c>
      <c r="V13" s="92">
        <f t="shared" si="7"/>
        <v>-1.4763688523300136</v>
      </c>
      <c r="W13" s="92">
        <f t="shared" si="8"/>
        <v>0</v>
      </c>
      <c r="X13" s="92">
        <f t="shared" si="9"/>
        <v>0</v>
      </c>
      <c r="Y13" s="92">
        <f t="shared" si="10"/>
        <v>-0.95309038077536445</v>
      </c>
      <c r="Z13" s="92">
        <f t="shared" si="11"/>
        <v>0</v>
      </c>
      <c r="AB13" s="94">
        <f>Emissions_All!C10</f>
        <v>47106951.966523558</v>
      </c>
      <c r="AC13" s="94">
        <f>Emissions_All!D10</f>
        <v>28805.083223394118</v>
      </c>
      <c r="AD13" s="94">
        <f>Emissions_All!E10</f>
        <v>11285.431326186284</v>
      </c>
      <c r="AE13" s="94">
        <f>Emissions_All!F10</f>
        <v>9004.5764743310865</v>
      </c>
      <c r="AF13" s="94">
        <f>Jobs_Creation!C9</f>
        <v>42198</v>
      </c>
      <c r="AG13" s="231">
        <f>PortfolioCost!D9/10^9</f>
        <v>21.282063041680402</v>
      </c>
      <c r="AH13" s="94">
        <f>DR_Peak_Capacity!C9</f>
        <v>260.95781757478602</v>
      </c>
      <c r="AI13" s="94">
        <f>DER_Solar_Participation!C9</f>
        <v>12115.291757981862</v>
      </c>
      <c r="AJ13" s="94">
        <f>EE_Added!C9</f>
        <v>695.07371999999998</v>
      </c>
      <c r="AK13" s="94">
        <f>DR_Participation!C9</f>
        <v>389709.03186058794</v>
      </c>
      <c r="AL13" s="94">
        <f>DER_Storage_Participation!C9</f>
        <v>8125.0872024574201</v>
      </c>
    </row>
    <row r="14" spans="1:38" s="7" customFormat="1" x14ac:dyDescent="0.3">
      <c r="A14" s="228">
        <v>9</v>
      </c>
      <c r="B14" s="229" t="str">
        <v>Nuclear</v>
      </c>
      <c r="C14" s="230">
        <f t="shared" si="20"/>
        <v>-0.26066239097265942</v>
      </c>
      <c r="D14" s="232">
        <f t="shared" si="21"/>
        <v>1.4731591421534738</v>
      </c>
      <c r="E14" s="90">
        <f>ABS(C14/(AG14/100)+1)</f>
        <v>0.16785233244950493</v>
      </c>
      <c r="G14" s="89">
        <f t="shared" si="12"/>
        <v>0.38121385500820804</v>
      </c>
      <c r="H14" s="89">
        <f t="shared" si="13"/>
        <v>0.13651601938798516</v>
      </c>
      <c r="I14" s="89">
        <f t="shared" si="14"/>
        <v>-4.034438957822447E-2</v>
      </c>
      <c r="J14" s="89">
        <f t="shared" si="15"/>
        <v>-1.5974118735733673</v>
      </c>
      <c r="K14" s="89">
        <f t="shared" si="16"/>
        <v>0</v>
      </c>
      <c r="L14" s="89">
        <f t="shared" si="17"/>
        <v>0</v>
      </c>
      <c r="M14" s="89">
        <f t="shared" si="18"/>
        <v>-0.96527273902587685</v>
      </c>
      <c r="N14" s="89">
        <f t="shared" si="19"/>
        <v>0</v>
      </c>
      <c r="P14" s="92">
        <f t="shared" si="1"/>
        <v>0.38121385500820804</v>
      </c>
      <c r="Q14" s="92">
        <f t="shared" si="2"/>
        <v>-0.15033703616980787</v>
      </c>
      <c r="R14" s="92">
        <f t="shared" si="3"/>
        <v>0.34770834057448741</v>
      </c>
      <c r="S14" s="92">
        <f t="shared" si="4"/>
        <v>0.21217675375927597</v>
      </c>
      <c r="T14" s="92">
        <f t="shared" si="5"/>
        <v>-4.034438957822447E-2</v>
      </c>
      <c r="U14" s="92">
        <f t="shared" si="6"/>
        <v>-1.193043964750309</v>
      </c>
      <c r="V14" s="92">
        <f t="shared" si="7"/>
        <v>-1.5974118735733673</v>
      </c>
      <c r="W14" s="92">
        <f t="shared" si="8"/>
        <v>0</v>
      </c>
      <c r="X14" s="92">
        <f t="shared" si="9"/>
        <v>0</v>
      </c>
      <c r="Y14" s="92">
        <f t="shared" si="10"/>
        <v>-0.96527273902587685</v>
      </c>
      <c r="Z14" s="92">
        <f t="shared" si="11"/>
        <v>0</v>
      </c>
      <c r="AB14" s="94">
        <f>Emissions_All!C11</f>
        <v>44754734.893816933</v>
      </c>
      <c r="AC14" s="94">
        <f>Emissions_All!D11</f>
        <v>28869.114275030966</v>
      </c>
      <c r="AD14" s="94">
        <f>Emissions_All!E11</f>
        <v>11005.239313662052</v>
      </c>
      <c r="AE14" s="94">
        <f>Emissions_All!F11</f>
        <v>8988.6435710857622</v>
      </c>
      <c r="AF14" s="94">
        <f>Jobs_Creation!C10</f>
        <v>45246</v>
      </c>
      <c r="AG14" s="231">
        <f>PortfolioCost!D10/10^9</f>
        <v>22.319807370332054</v>
      </c>
      <c r="AH14" s="94">
        <f>DR_Peak_Capacity!C10</f>
        <v>258.51667795075838</v>
      </c>
      <c r="AI14" s="94">
        <f>DER_Solar_Participation!C10</f>
        <v>12115.291757981862</v>
      </c>
      <c r="AJ14" s="94">
        <f>EE_Added!C10</f>
        <v>695.07371999999998</v>
      </c>
      <c r="AK14" s="94">
        <f>DR_Participation!C10</f>
        <v>388130.08449216688</v>
      </c>
      <c r="AL14" s="94">
        <f>DER_Storage_Participation!C10</f>
        <v>8125.0872024574201</v>
      </c>
    </row>
    <row r="15" spans="1:38" s="7" customFormat="1" x14ac:dyDescent="0.3">
      <c r="A15" s="228">
        <v>10</v>
      </c>
      <c r="B15" s="229" t="str">
        <v>Restricted Thermal</v>
      </c>
      <c r="C15" s="230">
        <f t="shared" si="20"/>
        <v>0.45938105303188193</v>
      </c>
      <c r="D15" s="232">
        <f t="shared" si="21"/>
        <v>0.90540786360678283</v>
      </c>
      <c r="E15" s="90">
        <f t="shared" ref="E15:E22" si="22">C15/(AG15/100)+1</f>
        <v>3.1118971516691087</v>
      </c>
      <c r="G15" s="89">
        <f t="shared" si="12"/>
        <v>1.1246677149166031</v>
      </c>
      <c r="H15" s="89">
        <f t="shared" si="13"/>
        <v>1.1151009857135223</v>
      </c>
      <c r="I15" s="89">
        <f t="shared" si="14"/>
        <v>3.9979643362241748</v>
      </c>
      <c r="J15" s="89">
        <f t="shared" si="15"/>
        <v>-1.5974118735733673</v>
      </c>
      <c r="K15" s="89">
        <f t="shared" si="16"/>
        <v>0</v>
      </c>
      <c r="L15" s="89">
        <f t="shared" si="17"/>
        <v>0</v>
      </c>
      <c r="M15" s="89">
        <f t="shared" si="18"/>
        <v>-0.96527273902587685</v>
      </c>
      <c r="N15" s="89">
        <f t="shared" si="19"/>
        <v>0</v>
      </c>
      <c r="P15" s="92">
        <f t="shared" si="1"/>
        <v>1.1246677149166031</v>
      </c>
      <c r="Q15" s="92">
        <f t="shared" si="2"/>
        <v>0.59798055354173374</v>
      </c>
      <c r="R15" s="92">
        <f t="shared" si="3"/>
        <v>1.4856831745745664</v>
      </c>
      <c r="S15" s="92">
        <f t="shared" si="4"/>
        <v>1.2616392290242668</v>
      </c>
      <c r="T15" s="92">
        <f t="shared" si="5"/>
        <v>3.9979643362241748</v>
      </c>
      <c r="U15" s="92">
        <f t="shared" si="6"/>
        <v>-0.73324826653453912</v>
      </c>
      <c r="V15" s="92">
        <f t="shared" si="7"/>
        <v>-1.5974118735733673</v>
      </c>
      <c r="W15" s="92">
        <f t="shared" si="8"/>
        <v>0</v>
      </c>
      <c r="X15" s="92">
        <f t="shared" si="9"/>
        <v>0</v>
      </c>
      <c r="Y15" s="92">
        <f t="shared" si="10"/>
        <v>-0.96527273902587685</v>
      </c>
      <c r="Z15" s="92">
        <f t="shared" si="11"/>
        <v>0</v>
      </c>
      <c r="AB15" s="94">
        <f>Emissions_All!C12</f>
        <v>36817308.636203535</v>
      </c>
      <c r="AC15" s="94">
        <f>Emissions_All!D12</f>
        <v>28728.269618337101</v>
      </c>
      <c r="AD15" s="94">
        <f>Emissions_All!E12</f>
        <v>9629.5713372603059</v>
      </c>
      <c r="AE15" s="94">
        <f>Emissions_All!F12</f>
        <v>8754.6387716820464</v>
      </c>
      <c r="AF15" s="94">
        <f>Jobs_Creation!C11</f>
        <v>94293</v>
      </c>
      <c r="AG15" s="231">
        <f>PortfolioCost!D11/10^9</f>
        <v>21.752056091785363</v>
      </c>
      <c r="AH15" s="94">
        <f>DR_Peak_Capacity!C11</f>
        <v>258.51667795075838</v>
      </c>
      <c r="AI15" s="94">
        <f>DER_Solar_Participation!C11</f>
        <v>12115.291757981862</v>
      </c>
      <c r="AJ15" s="94">
        <f>EE_Added!C11</f>
        <v>695.07371999999998</v>
      </c>
      <c r="AK15" s="94">
        <f>DR_Participation!C11</f>
        <v>388130.08449216688</v>
      </c>
      <c r="AL15" s="94">
        <f>DER_Storage_Participation!C11</f>
        <v>8125.0872024574201</v>
      </c>
    </row>
    <row r="16" spans="1:38" s="7" customFormat="1" x14ac:dyDescent="0.3">
      <c r="A16" s="228" t="str">
        <v>11 A1</v>
      </c>
      <c r="B16" s="229" t="str">
        <v>Least Diversified w/ Nuclear</v>
      </c>
      <c r="C16" s="230">
        <f t="shared" si="20"/>
        <v>0.37609267825589621</v>
      </c>
      <c r="D16" s="232">
        <f t="shared" si="21"/>
        <v>1.9866588271042751</v>
      </c>
      <c r="E16" s="90">
        <f t="shared" si="22"/>
        <v>2.6471231142528744</v>
      </c>
      <c r="G16" s="89">
        <f t="shared" si="12"/>
        <v>0.59244688999282757</v>
      </c>
      <c r="H16" s="89">
        <f t="shared" si="13"/>
        <v>0.55832709156146976</v>
      </c>
      <c r="I16" s="89">
        <f t="shared" si="14"/>
        <v>-0.48363866200508271</v>
      </c>
      <c r="J16" s="89">
        <f t="shared" si="15"/>
        <v>-0.26273453760415011</v>
      </c>
      <c r="K16" s="89">
        <f t="shared" si="16"/>
        <v>0</v>
      </c>
      <c r="L16" s="89">
        <f t="shared" si="17"/>
        <v>1.7356026191847542</v>
      </c>
      <c r="M16" s="89">
        <f t="shared" si="18"/>
        <v>0.86873802491735086</v>
      </c>
      <c r="N16" s="89">
        <f t="shared" si="19"/>
        <v>0</v>
      </c>
      <c r="P16" s="92">
        <f t="shared" si="1"/>
        <v>0.59244688999282757</v>
      </c>
      <c r="Q16" s="92">
        <f t="shared" si="2"/>
        <v>0.45324987957330293</v>
      </c>
      <c r="R16" s="92">
        <f t="shared" si="3"/>
        <v>0.64950348055064377</v>
      </c>
      <c r="S16" s="92">
        <f t="shared" si="4"/>
        <v>0.5722279145604624</v>
      </c>
      <c r="T16" s="92">
        <f t="shared" si="5"/>
        <v>-0.48363866200508271</v>
      </c>
      <c r="U16" s="92">
        <f t="shared" si="6"/>
        <v>-1.608903787699373</v>
      </c>
      <c r="V16" s="92">
        <f t="shared" si="7"/>
        <v>-0.26273453760415011</v>
      </c>
      <c r="W16" s="92">
        <f t="shared" si="8"/>
        <v>0</v>
      </c>
      <c r="X16" s="92">
        <f t="shared" si="9"/>
        <v>1.7356026191847542</v>
      </c>
      <c r="Y16" s="92">
        <f t="shared" si="10"/>
        <v>0.86873802491735086</v>
      </c>
      <c r="Z16" s="92">
        <f t="shared" si="11"/>
        <v>0</v>
      </c>
      <c r="AB16" s="94">
        <f>Emissions_All!C13</f>
        <v>42499522.124366954</v>
      </c>
      <c r="AC16" s="94">
        <f>Emissions_All!D13</f>
        <v>28755.510114041623</v>
      </c>
      <c r="AD16" s="94">
        <f>Emissions_All!E13</f>
        <v>10640.407072126865</v>
      </c>
      <c r="AE16" s="94">
        <f>Emissions_All!F13</f>
        <v>8908.3608533667866</v>
      </c>
      <c r="AF16" s="94">
        <f>Jobs_Creation!C12</f>
        <v>39862</v>
      </c>
      <c r="AG16" s="231">
        <f>PortfolioCost!D12/10^9</f>
        <v>22.833307055282855</v>
      </c>
      <c r="AH16" s="94">
        <f>DR_Peak_Capacity!C12</f>
        <v>285.43383266697879</v>
      </c>
      <c r="AI16" s="94">
        <f>DER_Solar_Participation!C12</f>
        <v>12115.291757981862</v>
      </c>
      <c r="AJ16" s="94">
        <f>EE_Added!C12</f>
        <v>818.32495699999993</v>
      </c>
      <c r="AK16" s="94">
        <f>DR_Participation!C12</f>
        <v>625835.0025249538</v>
      </c>
      <c r="AL16" s="94">
        <f>DER_Storage_Participation!C12</f>
        <v>8125.0872024574201</v>
      </c>
    </row>
    <row r="17" spans="1:38" s="7" customFormat="1" x14ac:dyDescent="0.3">
      <c r="A17" s="228" t="str">
        <v>11 A2</v>
      </c>
      <c r="B17" s="229" t="str">
        <v>Diversified + PNW PHES</v>
      </c>
      <c r="C17" s="230">
        <f t="shared" si="20"/>
        <v>-5.4470935544611257E-2</v>
      </c>
      <c r="D17" s="232">
        <f t="shared" si="21"/>
        <v>2.3998957307471791</v>
      </c>
      <c r="E17" s="90">
        <f t="shared" si="22"/>
        <v>0.76568157554578531</v>
      </c>
      <c r="G17" s="89">
        <f t="shared" si="12"/>
        <v>0.45616767918930395</v>
      </c>
      <c r="H17" s="89">
        <f t="shared" si="13"/>
        <v>0.27869938174968256</v>
      </c>
      <c r="I17" s="89">
        <f t="shared" si="14"/>
        <v>-0.64180513624950963</v>
      </c>
      <c r="J17" s="89">
        <f t="shared" si="15"/>
        <v>-1.4763688523300136</v>
      </c>
      <c r="K17" s="89">
        <f t="shared" si="16"/>
        <v>0</v>
      </c>
      <c r="L17" s="89">
        <f t="shared" si="17"/>
        <v>1.7356026191847542</v>
      </c>
      <c r="M17" s="89">
        <f t="shared" si="18"/>
        <v>-0.95309038077536445</v>
      </c>
      <c r="N17" s="89">
        <f t="shared" si="19"/>
        <v>0.1650272048742569</v>
      </c>
      <c r="P17" s="92">
        <f t="shared" si="1"/>
        <v>0.45616767918930395</v>
      </c>
      <c r="Q17" s="92">
        <f t="shared" si="2"/>
        <v>-0.10811949865937746</v>
      </c>
      <c r="R17" s="92">
        <f t="shared" si="3"/>
        <v>0.60148945261630826</v>
      </c>
      <c r="S17" s="92">
        <f t="shared" si="4"/>
        <v>0.34272819129211696</v>
      </c>
      <c r="T17" s="92">
        <f t="shared" si="5"/>
        <v>-0.64180513624950963</v>
      </c>
      <c r="U17" s="92">
        <f t="shared" si="6"/>
        <v>-1.9435653865695308</v>
      </c>
      <c r="V17" s="92">
        <f t="shared" si="7"/>
        <v>-1.4763688523300136</v>
      </c>
      <c r="W17" s="92">
        <f t="shared" si="8"/>
        <v>0</v>
      </c>
      <c r="X17" s="92">
        <f t="shared" si="9"/>
        <v>1.7356026191847542</v>
      </c>
      <c r="Y17" s="92">
        <f t="shared" si="10"/>
        <v>-0.95309038077536445</v>
      </c>
      <c r="Z17" s="92">
        <f t="shared" si="11"/>
        <v>0.1650272048742569</v>
      </c>
      <c r="AB17" s="94">
        <f>Emissions_All!C14</f>
        <v>43954496.325902477</v>
      </c>
      <c r="AC17" s="94">
        <f>Emissions_All!D14</f>
        <v>28861.168297736207</v>
      </c>
      <c r="AD17" s="94">
        <f>Emissions_All!E14</f>
        <v>10698.449973141775</v>
      </c>
      <c r="AE17" s="94">
        <f>Emissions_All!F14</f>
        <v>8959.5337518480374</v>
      </c>
      <c r="AF17" s="94">
        <f>Jobs_Creation!C13</f>
        <v>37941</v>
      </c>
      <c r="AG17" s="231">
        <f>PortfolioCost!D13/10^9</f>
        <v>23.246543958925759</v>
      </c>
      <c r="AH17" s="94">
        <f>DR_Peak_Capacity!C13</f>
        <v>260.95781757478602</v>
      </c>
      <c r="AI17" s="94">
        <f>DER_Solar_Participation!C13</f>
        <v>12115.291757981862</v>
      </c>
      <c r="AJ17" s="94">
        <f>EE_Added!C13</f>
        <v>818.32495699999993</v>
      </c>
      <c r="AK17" s="94">
        <f>DR_Participation!C13</f>
        <v>389709.03186058794</v>
      </c>
      <c r="AL17" s="94">
        <f>DER_Storage_Participation!C13</f>
        <v>8818.354035375125</v>
      </c>
    </row>
    <row r="18" spans="1:38" s="7" customFormat="1" x14ac:dyDescent="0.3">
      <c r="A18" s="228" t="str">
        <v>11 A3</v>
      </c>
      <c r="B18" s="229" t="str">
        <v>Diversified + DER Solar</v>
      </c>
      <c r="C18" s="230">
        <f t="shared" si="20"/>
        <v>0.69112059307509088</v>
      </c>
      <c r="D18" s="232">
        <f t="shared" si="21"/>
        <v>2.423617939374779</v>
      </c>
      <c r="E18" s="90">
        <f t="shared" si="22"/>
        <v>3.9699728748214635</v>
      </c>
      <c r="G18" s="89">
        <f t="shared" si="12"/>
        <v>0.59022096322511253</v>
      </c>
      <c r="H18" s="89">
        <f t="shared" si="13"/>
        <v>0.52726743598931725</v>
      </c>
      <c r="I18" s="89">
        <f t="shared" si="14"/>
        <v>-0.25112324125221352</v>
      </c>
      <c r="J18" s="89">
        <f t="shared" si="15"/>
        <v>-0.20434911215317003</v>
      </c>
      <c r="K18" s="89">
        <f t="shared" si="16"/>
        <v>2.2504256964390645</v>
      </c>
      <c r="L18" s="89">
        <f t="shared" si="17"/>
        <v>1.7356026191847542</v>
      </c>
      <c r="M18" s="89">
        <f t="shared" si="18"/>
        <v>0.8809203831678627</v>
      </c>
      <c r="N18" s="89">
        <f t="shared" si="19"/>
        <v>0</v>
      </c>
      <c r="P18" s="92">
        <f t="shared" si="1"/>
        <v>0.59022096322511253</v>
      </c>
      <c r="Q18" s="92">
        <f t="shared" si="2"/>
        <v>0.41476253392459905</v>
      </c>
      <c r="R18" s="92">
        <f t="shared" si="3"/>
        <v>0.63115440322248928</v>
      </c>
      <c r="S18" s="92">
        <f t="shared" si="4"/>
        <v>0.5358853708208634</v>
      </c>
      <c r="T18" s="92">
        <f t="shared" si="5"/>
        <v>-0.25112324125221352</v>
      </c>
      <c r="U18" s="92">
        <f t="shared" si="6"/>
        <v>-1.9627769143833789</v>
      </c>
      <c r="V18" s="92">
        <f t="shared" si="7"/>
        <v>-0.20434911215317003</v>
      </c>
      <c r="W18" s="92">
        <f t="shared" si="8"/>
        <v>2.2504256964390645</v>
      </c>
      <c r="X18" s="92">
        <f t="shared" si="9"/>
        <v>1.7356026191847542</v>
      </c>
      <c r="Y18" s="92">
        <f t="shared" si="10"/>
        <v>0.8809203831678627</v>
      </c>
      <c r="Z18" s="92">
        <f t="shared" si="11"/>
        <v>0</v>
      </c>
      <c r="AB18" s="94">
        <f>Emissions_All!C15</f>
        <v>42523287.055220582</v>
      </c>
      <c r="AC18" s="94">
        <f>Emissions_All!D15</f>
        <v>28762.754012968333</v>
      </c>
      <c r="AD18" s="94">
        <f>Emissions_All!E15</f>
        <v>10662.588791197166</v>
      </c>
      <c r="AE18" s="94">
        <f>Emissions_All!F15</f>
        <v>8916.4643633617088</v>
      </c>
      <c r="AF18" s="94">
        <f>Jobs_Creation!C14</f>
        <v>42686</v>
      </c>
      <c r="AG18" s="231">
        <f>PortfolioCost!D14/10^9</f>
        <v>23.270266167553359</v>
      </c>
      <c r="AH18" s="94">
        <f>DR_Peak_Capacity!C14</f>
        <v>286.61132290202136</v>
      </c>
      <c r="AI18" s="94">
        <f>DER_Solar_Participation!C14</f>
        <v>83902.523027568313</v>
      </c>
      <c r="AJ18" s="94">
        <f>EE_Added!C14</f>
        <v>818.32495699999993</v>
      </c>
      <c r="AK18" s="94">
        <f>DR_Participation!C14</f>
        <v>627413.94989337481</v>
      </c>
      <c r="AL18" s="94">
        <f>DER_Storage_Participation!C14</f>
        <v>8125.0872024574201</v>
      </c>
    </row>
    <row r="19" spans="1:38" s="7" customFormat="1" x14ac:dyDescent="0.3">
      <c r="A19" s="228" t="str">
        <v>11 A4</v>
      </c>
      <c r="B19" s="229" t="str">
        <v>Diversified + DER Batteries</v>
      </c>
      <c r="C19" s="230">
        <f t="shared" ref="C19:C21" si="23">SUMPRODUCT($G$3:$N$3,G19:N19)</f>
        <v>0.52951959725525344</v>
      </c>
      <c r="D19" s="232">
        <f t="shared" ref="D19:D21" si="24">AG19-AG$6</f>
        <v>2.7953431205396164</v>
      </c>
      <c r="E19" s="90">
        <f t="shared" si="22"/>
        <v>3.2397419466273618</v>
      </c>
      <c r="G19" s="89">
        <f>AVERAGE(P19)</f>
        <v>0.53706599346924577</v>
      </c>
      <c r="H19" s="89">
        <f t="shared" si="13"/>
        <v>0.32662745370784257</v>
      </c>
      <c r="I19" s="89">
        <f t="shared" si="14"/>
        <v>-0.5262884452734915</v>
      </c>
      <c r="J19" s="89">
        <f t="shared" si="15"/>
        <v>-1.5974118735733673</v>
      </c>
      <c r="K19" s="89">
        <f t="shared" si="16"/>
        <v>2.2504256964390645</v>
      </c>
      <c r="L19" s="89">
        <f t="shared" si="17"/>
        <v>1.7356026191847542</v>
      </c>
      <c r="M19" s="89">
        <f t="shared" si="18"/>
        <v>-0.96527273902587685</v>
      </c>
      <c r="N19" s="89">
        <f t="shared" si="19"/>
        <v>2.4754080731138566</v>
      </c>
      <c r="P19" s="92">
        <f t="shared" si="1"/>
        <v>0.53706599346924577</v>
      </c>
      <c r="Q19" s="92">
        <f t="shared" si="2"/>
        <v>-9.0372681746983707E-2</v>
      </c>
      <c r="R19" s="92">
        <f t="shared" si="3"/>
        <v>0.6843323467153295</v>
      </c>
      <c r="S19" s="92">
        <f t="shared" si="4"/>
        <v>0.38592269615518193</v>
      </c>
      <c r="T19" s="92">
        <f t="shared" si="5"/>
        <v>-0.5262884452734915</v>
      </c>
      <c r="U19" s="92">
        <f t="shared" si="6"/>
        <v>-2.263820074789074</v>
      </c>
      <c r="V19" s="92">
        <f t="shared" si="7"/>
        <v>-1.5974118735733673</v>
      </c>
      <c r="W19" s="92">
        <f t="shared" si="8"/>
        <v>2.2504256964390645</v>
      </c>
      <c r="X19" s="92">
        <f t="shared" si="9"/>
        <v>1.7356026191847542</v>
      </c>
      <c r="Y19" s="92">
        <f t="shared" si="10"/>
        <v>-0.96527273902587685</v>
      </c>
      <c r="Z19" s="92">
        <f t="shared" si="11"/>
        <v>2.4754080731138566</v>
      </c>
      <c r="AB19" s="94">
        <f>Emissions_All!C16</f>
        <v>43090791.880220547</v>
      </c>
      <c r="AC19" s="94">
        <f>Emissions_All!D16</f>
        <v>28857.828079131432</v>
      </c>
      <c r="AD19" s="94">
        <f>Emissions_All!E16</f>
        <v>10598.30336789228</v>
      </c>
      <c r="AE19" s="94">
        <f>Emissions_All!F16</f>
        <v>8949.9024199194973</v>
      </c>
      <c r="AF19" s="94">
        <f>Jobs_Creation!C15</f>
        <v>39344</v>
      </c>
      <c r="AG19" s="231">
        <f>PortfolioCost!D15/10^9</f>
        <v>23.641991348718197</v>
      </c>
      <c r="AH19" s="94">
        <f>DR_Peak_Capacity!C15</f>
        <v>258.51667795075838</v>
      </c>
      <c r="AI19" s="94">
        <f>DER_Solar_Participation!C15</f>
        <v>83902.523027568313</v>
      </c>
      <c r="AJ19" s="94">
        <f>EE_Added!C15</f>
        <v>818.32495699999993</v>
      </c>
      <c r="AK19" s="94">
        <f>DR_Participation!C15</f>
        <v>388130.08449216688</v>
      </c>
      <c r="AL19" s="94">
        <f>DER_Storage_Participation!C15</f>
        <v>18524.089696223007</v>
      </c>
    </row>
    <row r="20" spans="1:38" s="7" customFormat="1" x14ac:dyDescent="0.3">
      <c r="A20" s="228" t="str">
        <v>11 A5</v>
      </c>
      <c r="B20" s="229" t="str">
        <v>Diversified + All DR Programs</v>
      </c>
      <c r="C20" s="230">
        <f t="shared" si="23"/>
        <v>1.3249103248338068</v>
      </c>
      <c r="D20" s="232">
        <f t="shared" si="24"/>
        <v>2.824542329051269</v>
      </c>
      <c r="E20" s="90">
        <f t="shared" si="22"/>
        <v>6.5971427445973641</v>
      </c>
      <c r="G20" s="89">
        <f t="shared" si="12"/>
        <v>0.68203812971069344</v>
      </c>
      <c r="H20" s="89">
        <f t="shared" si="13"/>
        <v>0.56107309330813304</v>
      </c>
      <c r="I20" s="89">
        <f t="shared" si="14"/>
        <v>-0.40994839940812172</v>
      </c>
      <c r="J20" s="89">
        <f t="shared" si="15"/>
        <v>1.4706726223788478</v>
      </c>
      <c r="K20" s="89">
        <f t="shared" si="16"/>
        <v>2.2504256964390645</v>
      </c>
      <c r="L20" s="89">
        <f t="shared" si="17"/>
        <v>1.7356026191847542</v>
      </c>
      <c r="M20" s="89">
        <f t="shared" si="18"/>
        <v>1.8340107639432277</v>
      </c>
      <c r="N20" s="89">
        <f t="shared" si="19"/>
        <v>2.4754080731138566</v>
      </c>
      <c r="P20" s="92">
        <f t="shared" si="1"/>
        <v>0.68203812971069344</v>
      </c>
      <c r="Q20" s="92">
        <f t="shared" si="2"/>
        <v>2.6276569665620267E-2</v>
      </c>
      <c r="R20" s="92">
        <f t="shared" si="3"/>
        <v>0.92492893191225778</v>
      </c>
      <c r="S20" s="92">
        <f t="shared" si="4"/>
        <v>0.73201377834652093</v>
      </c>
      <c r="T20" s="92">
        <f t="shared" si="5"/>
        <v>-0.40994839940812172</v>
      </c>
      <c r="U20" s="92">
        <f t="shared" si="6"/>
        <v>-2.287467173390648</v>
      </c>
      <c r="V20" s="92">
        <f t="shared" si="7"/>
        <v>1.4706726223788478</v>
      </c>
      <c r="W20" s="92">
        <f t="shared" si="8"/>
        <v>2.2504256964390645</v>
      </c>
      <c r="X20" s="92">
        <f t="shared" si="9"/>
        <v>1.7356026191847542</v>
      </c>
      <c r="Y20" s="92">
        <f t="shared" si="10"/>
        <v>1.8340107639432277</v>
      </c>
      <c r="Z20" s="92">
        <f t="shared" si="11"/>
        <v>2.4754080731138566</v>
      </c>
      <c r="AB20" s="94">
        <f>Emissions_All!C17</f>
        <v>41543008.34868174</v>
      </c>
      <c r="AC20" s="94">
        <f>Emissions_All!D17</f>
        <v>28835.872930682846</v>
      </c>
      <c r="AD20" s="94">
        <f>Emissions_All!E17</f>
        <v>10307.452456608415</v>
      </c>
      <c r="AE20" s="94">
        <f>Emissions_All!F17</f>
        <v>8872.7324627534254</v>
      </c>
      <c r="AF20" s="94">
        <f>Jobs_Creation!C16</f>
        <v>40757</v>
      </c>
      <c r="AG20" s="231">
        <f>PortfolioCost!D16/10^9</f>
        <v>23.671190557229849</v>
      </c>
      <c r="AH20" s="94">
        <f>DR_Peak_Capacity!C16</f>
        <v>320.39238590979994</v>
      </c>
      <c r="AI20" s="94">
        <f>DER_Solar_Participation!C16</f>
        <v>83902.523027568313</v>
      </c>
      <c r="AJ20" s="94">
        <f>EE_Added!C16</f>
        <v>818.32495699999993</v>
      </c>
      <c r="AK20" s="94">
        <f>DR_Participation!C16</f>
        <v>750943.36165808071</v>
      </c>
      <c r="AL20" s="94">
        <f>DER_Storage_Participation!C16</f>
        <v>18524.089696223007</v>
      </c>
    </row>
    <row r="21" spans="1:38" s="7" customFormat="1" x14ac:dyDescent="0.3">
      <c r="A21" s="228" t="str">
        <v>11 B1</v>
      </c>
      <c r="B21" s="229" t="str">
        <v>Least Diversified w/o Nuclear</v>
      </c>
      <c r="C21" s="230">
        <f t="shared" si="23"/>
        <v>-4.9867279522662795E-2</v>
      </c>
      <c r="D21" s="232">
        <f t="shared" si="24"/>
        <v>0.24005456946667536</v>
      </c>
      <c r="E21" s="90">
        <f t="shared" si="22"/>
        <v>0.76351314854102537</v>
      </c>
      <c r="G21" s="89">
        <f t="shared" si="12"/>
        <v>0.35645621633462199</v>
      </c>
      <c r="H21" s="89">
        <f t="shared" si="13"/>
        <v>0.20618340224628515</v>
      </c>
      <c r="I21" s="89">
        <f t="shared" si="14"/>
        <v>-0.38203666865910518</v>
      </c>
      <c r="J21" s="89">
        <f t="shared" si="15"/>
        <v>-1.5974118735733673</v>
      </c>
      <c r="K21" s="89">
        <f t="shared" si="16"/>
        <v>0</v>
      </c>
      <c r="L21" s="89">
        <f t="shared" si="17"/>
        <v>1.7356026191847542</v>
      </c>
      <c r="M21" s="89">
        <f t="shared" si="18"/>
        <v>-0.96527273902587685</v>
      </c>
      <c r="N21" s="89">
        <f t="shared" si="19"/>
        <v>0.24754080731138556</v>
      </c>
      <c r="P21" s="92">
        <f t="shared" si="1"/>
        <v>0.35645621633462199</v>
      </c>
      <c r="Q21" s="92">
        <f t="shared" si="2"/>
        <v>-0.13065732696820287</v>
      </c>
      <c r="R21" s="92">
        <f t="shared" si="3"/>
        <v>0.47807867572642182</v>
      </c>
      <c r="S21" s="92">
        <f t="shared" si="4"/>
        <v>0.27112885798063646</v>
      </c>
      <c r="T21" s="92">
        <f t="shared" si="5"/>
        <v>-0.38203666865910518</v>
      </c>
      <c r="U21" s="92">
        <f t="shared" si="6"/>
        <v>-0.19440917625117934</v>
      </c>
      <c r="V21" s="92">
        <f t="shared" si="7"/>
        <v>-1.5974118735733673</v>
      </c>
      <c r="W21" s="92">
        <f t="shared" si="8"/>
        <v>0</v>
      </c>
      <c r="X21" s="92">
        <f t="shared" si="9"/>
        <v>1.7356026191847542</v>
      </c>
      <c r="Y21" s="92">
        <f t="shared" si="10"/>
        <v>-0.96527273902587685</v>
      </c>
      <c r="Z21" s="92">
        <f t="shared" si="11"/>
        <v>0.24754080731138556</v>
      </c>
      <c r="AB21" s="94">
        <f>Emissions_All!C18</f>
        <v>45019057.862438604</v>
      </c>
      <c r="AC21" s="94">
        <f>Emissions_All!D18</f>
        <v>28865.410256945004</v>
      </c>
      <c r="AD21" s="94">
        <f>Emissions_All!E18</f>
        <v>10847.638029536232</v>
      </c>
      <c r="AE21" s="94">
        <f>Emissions_All!F18</f>
        <v>8975.4986748670926</v>
      </c>
      <c r="AF21" s="94">
        <f>Jobs_Creation!C17</f>
        <v>41096</v>
      </c>
      <c r="AG21" s="231">
        <f>PortfolioCost!D17/10^9</f>
        <v>21.086702797645255</v>
      </c>
      <c r="AH21" s="94">
        <f>DR_Peak_Capacity!C17</f>
        <v>258.51667795075838</v>
      </c>
      <c r="AI21" s="94">
        <f>DER_Solar_Participation!C17</f>
        <v>12115.291757981862</v>
      </c>
      <c r="AJ21" s="94">
        <f>EE_Added!C17</f>
        <v>818.32495699999993</v>
      </c>
      <c r="AK21" s="94">
        <f>DR_Participation!C17</f>
        <v>388130.08449216688</v>
      </c>
      <c r="AL21" s="94">
        <f>DER_Storage_Participation!C17</f>
        <v>9164.9874518339784</v>
      </c>
    </row>
    <row r="22" spans="1:38" s="7" customFormat="1" x14ac:dyDescent="0.3">
      <c r="A22" s="228" t="str">
        <v>11 B2</v>
      </c>
      <c r="B22" s="229" t="str">
        <v>Most Diversified w/o Nuclear</v>
      </c>
      <c r="C22" s="230">
        <f>SUMPRODUCT($G$3:$N$3,G22:N22)</f>
        <v>1.3243143908290278</v>
      </c>
      <c r="D22" s="232">
        <f t="shared" ref="D22:D28" si="25">AG22-AG$6</f>
        <v>1.6647499630194531</v>
      </c>
      <c r="E22" s="90">
        <f t="shared" si="22"/>
        <v>6.8828615600910794</v>
      </c>
      <c r="G22" s="89">
        <f t="shared" si="12"/>
        <v>0.41700613788969959</v>
      </c>
      <c r="H22" s="89">
        <f t="shared" si="13"/>
        <v>0.45868111288394947</v>
      </c>
      <c r="I22" s="89">
        <f t="shared" si="14"/>
        <v>-0.15981318402312999</v>
      </c>
      <c r="J22" s="89">
        <f t="shared" si="15"/>
        <v>1.4706726223788478</v>
      </c>
      <c r="K22" s="89">
        <f t="shared" si="16"/>
        <v>2.3629469812610178</v>
      </c>
      <c r="L22" s="89">
        <f t="shared" si="17"/>
        <v>1.7356026191847542</v>
      </c>
      <c r="M22" s="89">
        <f t="shared" si="18"/>
        <v>1.8340107639432277</v>
      </c>
      <c r="N22" s="89">
        <f t="shared" si="19"/>
        <v>2.4754080731138566</v>
      </c>
      <c r="P22" s="92">
        <f t="shared" si="1"/>
        <v>0.41700613788969959</v>
      </c>
      <c r="Q22" s="92">
        <f t="shared" si="2"/>
        <v>0.43299436044965645</v>
      </c>
      <c r="R22" s="92">
        <f t="shared" si="3"/>
        <v>0.51342943121890805</v>
      </c>
      <c r="S22" s="92">
        <f t="shared" si="4"/>
        <v>0.42961954698328392</v>
      </c>
      <c r="T22" s="92">
        <f t="shared" si="5"/>
        <v>-0.15981318402312999</v>
      </c>
      <c r="U22" s="92">
        <f t="shared" si="6"/>
        <v>-1.3482045757088643</v>
      </c>
      <c r="V22" s="92">
        <f t="shared" si="7"/>
        <v>1.4706726223788478</v>
      </c>
      <c r="W22" s="92">
        <f t="shared" si="8"/>
        <v>2.3629469812610178</v>
      </c>
      <c r="X22" s="92">
        <f t="shared" si="9"/>
        <v>1.7356026191847542</v>
      </c>
      <c r="Y22" s="92">
        <f t="shared" si="10"/>
        <v>1.8340107639432277</v>
      </c>
      <c r="Z22" s="92">
        <f t="shared" si="11"/>
        <v>2.4754080731138566</v>
      </c>
      <c r="AB22" s="94">
        <f>Emissions_All!C19</f>
        <v>44372601.42019628</v>
      </c>
      <c r="AC22" s="94">
        <f>Emissions_All!D19</f>
        <v>28759.32250823942</v>
      </c>
      <c r="AD22" s="94">
        <f>Emissions_All!E19</f>
        <v>10804.903426960111</v>
      </c>
      <c r="AE22" s="94">
        <f>Emissions_All!F19</f>
        <v>8940.1590769666946</v>
      </c>
      <c r="AF22" s="94">
        <f>Jobs_Creation!C18</f>
        <v>43795</v>
      </c>
      <c r="AG22" s="231">
        <f>PortfolioCost!D18/10^9</f>
        <v>22.511398191198033</v>
      </c>
      <c r="AH22" s="94">
        <f>DR_Peak_Capacity!C18</f>
        <v>320.39238590979994</v>
      </c>
      <c r="AI22" s="94">
        <f>DER_Solar_Participation!C18</f>
        <v>87491.884591047638</v>
      </c>
      <c r="AJ22" s="94">
        <f>EE_Added!C18</f>
        <v>818.32495699999993</v>
      </c>
      <c r="AK22" s="94">
        <f>DR_Participation!C18</f>
        <v>750943.36165808071</v>
      </c>
      <c r="AL22" s="94">
        <f>DER_Storage_Participation!C18</f>
        <v>18524.089696223007</v>
      </c>
    </row>
    <row r="23" spans="1:38" s="7" customFormat="1" x14ac:dyDescent="0.3">
      <c r="A23" s="228">
        <v>12</v>
      </c>
      <c r="B23" s="229" t="str">
        <v>100% Renewable/Non-Emitting by 2030</v>
      </c>
      <c r="C23" s="244" t="s">
        <v>154</v>
      </c>
      <c r="D23" s="244" t="s">
        <v>154</v>
      </c>
      <c r="E23" s="244" t="s">
        <v>154</v>
      </c>
      <c r="G23" s="244" t="s">
        <v>154</v>
      </c>
      <c r="H23" s="244" t="s">
        <v>154</v>
      </c>
      <c r="I23" s="244" t="s">
        <v>154</v>
      </c>
      <c r="J23" s="244" t="s">
        <v>154</v>
      </c>
      <c r="K23" s="244" t="s">
        <v>154</v>
      </c>
      <c r="L23" s="244" t="s">
        <v>154</v>
      </c>
      <c r="M23" s="244" t="s">
        <v>154</v>
      </c>
      <c r="N23" s="244" t="s">
        <v>154</v>
      </c>
      <c r="P23" s="244" t="s">
        <v>154</v>
      </c>
      <c r="Q23" s="244" t="s">
        <v>154</v>
      </c>
      <c r="R23" s="244" t="s">
        <v>154</v>
      </c>
      <c r="S23" s="244" t="s">
        <v>154</v>
      </c>
      <c r="T23" s="244" t="s">
        <v>154</v>
      </c>
      <c r="U23" s="244" t="s">
        <v>154</v>
      </c>
      <c r="V23" s="244" t="s">
        <v>154</v>
      </c>
      <c r="W23" s="244" t="s">
        <v>154</v>
      </c>
      <c r="X23" s="244" t="s">
        <v>154</v>
      </c>
      <c r="Y23" s="244" t="s">
        <v>154</v>
      </c>
      <c r="Z23" s="244" t="s">
        <v>154</v>
      </c>
      <c r="AB23" s="244" t="s">
        <v>154</v>
      </c>
      <c r="AC23" s="244" t="s">
        <v>154</v>
      </c>
      <c r="AD23" s="244" t="s">
        <v>154</v>
      </c>
      <c r="AE23" s="244" t="s">
        <v>154</v>
      </c>
      <c r="AF23" s="244" t="s">
        <v>154</v>
      </c>
      <c r="AG23" s="244" t="s">
        <v>154</v>
      </c>
      <c r="AH23" s="244" t="s">
        <v>154</v>
      </c>
      <c r="AI23" s="244" t="s">
        <v>154</v>
      </c>
      <c r="AJ23" s="244" t="s">
        <v>154</v>
      </c>
      <c r="AK23" s="244" t="s">
        <v>154</v>
      </c>
      <c r="AL23" s="244" t="s">
        <v>154</v>
      </c>
    </row>
    <row r="24" spans="1:38" s="7" customFormat="1" x14ac:dyDescent="0.3">
      <c r="A24" s="228">
        <v>13</v>
      </c>
      <c r="B24" s="229" t="str">
        <v>High Carbon Price</v>
      </c>
      <c r="C24" s="230">
        <f t="shared" ref="C24:C28" si="26">SUMPRODUCT($G$3:$N$3,G24:N24)</f>
        <v>-0.23720614173632704</v>
      </c>
      <c r="D24" s="232">
        <f t="shared" si="25"/>
        <v>-1.405043461478428E-2</v>
      </c>
      <c r="E24" s="90">
        <f>ABS(C24/(AG24/100)+1)</f>
        <v>0.1386296806901901</v>
      </c>
      <c r="G24" s="89">
        <f t="shared" si="12"/>
        <v>0.73655360900302957</v>
      </c>
      <c r="H24" s="89">
        <f t="shared" si="13"/>
        <v>0.18305897884293279</v>
      </c>
      <c r="I24" s="89">
        <f t="shared" si="14"/>
        <v>-0.38887051424072278</v>
      </c>
      <c r="J24" s="89">
        <f t="shared" si="15"/>
        <v>-1.4753008267204915</v>
      </c>
      <c r="K24" s="89">
        <f t="shared" si="16"/>
        <v>0</v>
      </c>
      <c r="L24" s="89">
        <f t="shared" si="17"/>
        <v>0</v>
      </c>
      <c r="M24" s="89">
        <f t="shared" si="18"/>
        <v>-0.95309038077536445</v>
      </c>
      <c r="N24" s="89">
        <f t="shared" si="19"/>
        <v>0</v>
      </c>
      <c r="P24" s="92">
        <f t="shared" si="1"/>
        <v>0.73655360900302957</v>
      </c>
      <c r="Q24" s="92">
        <f t="shared" si="2"/>
        <v>-1.9075909252551239E-2</v>
      </c>
      <c r="R24" s="92">
        <f t="shared" si="3"/>
        <v>3.9002966537963576E-2</v>
      </c>
      <c r="S24" s="92">
        <f t="shared" si="4"/>
        <v>0.52924987924338607</v>
      </c>
      <c r="T24" s="92">
        <f t="shared" si="5"/>
        <v>-0.38887051424072278</v>
      </c>
      <c r="U24" s="92">
        <f t="shared" si="6"/>
        <v>1.1378802017807299E-2</v>
      </c>
      <c r="V24" s="92">
        <f t="shared" si="7"/>
        <v>-1.4753008267204915</v>
      </c>
      <c r="W24" s="92">
        <f t="shared" si="8"/>
        <v>0</v>
      </c>
      <c r="X24" s="92">
        <f t="shared" si="9"/>
        <v>0</v>
      </c>
      <c r="Y24" s="92">
        <f t="shared" si="10"/>
        <v>-0.95309038077536445</v>
      </c>
      <c r="Z24" s="92">
        <f t="shared" si="11"/>
        <v>0</v>
      </c>
      <c r="AB24" s="94">
        <f>Emissions_All!C21</f>
        <v>40960978.151360974</v>
      </c>
      <c r="AC24" s="94">
        <f>Emissions_All!D21</f>
        <v>28844.408951232501</v>
      </c>
      <c r="AD24" s="94">
        <f>Emissions_All!E21</f>
        <v>11378.425156192854</v>
      </c>
      <c r="AE24" s="94">
        <f>Emissions_All!F21</f>
        <v>8917.9439178118482</v>
      </c>
      <c r="AF24" s="94">
        <f>Jobs_Creation!C20</f>
        <v>41013</v>
      </c>
      <c r="AG24" s="231">
        <f>PortfolioCost!D20/10^9</f>
        <v>20.832597793563796</v>
      </c>
      <c r="AH24" s="94">
        <f>DR_Peak_Capacity!C20</f>
        <v>260.97935702091104</v>
      </c>
      <c r="AI24" s="94">
        <f>DER_Solar_Participation!C20</f>
        <v>12115.291757981862</v>
      </c>
      <c r="AJ24" s="94">
        <f>EE_Added!C20</f>
        <v>695.07371999999998</v>
      </c>
      <c r="AK24" s="94">
        <f>DR_Participation!C20</f>
        <v>389709.03186058794</v>
      </c>
      <c r="AL24" s="94">
        <f>DER_Storage_Participation!C20</f>
        <v>8125.0872024574201</v>
      </c>
    </row>
    <row r="25" spans="1:38" s="7" customFormat="1" x14ac:dyDescent="0.3">
      <c r="A25" s="228">
        <v>14</v>
      </c>
      <c r="B25" s="229" t="str">
        <v>No H2 Fuel</v>
      </c>
      <c r="C25" s="230">
        <f t="shared" si="26"/>
        <v>-1.4095776550465573</v>
      </c>
      <c r="D25" s="232">
        <f t="shared" si="25"/>
        <v>4.2276684267137732</v>
      </c>
      <c r="E25" s="90">
        <v>0.1</v>
      </c>
      <c r="G25" s="89">
        <f t="shared" ref="G25:G28" si="27">AVERAGE(P25)</f>
        <v>-3.8889404579388045</v>
      </c>
      <c r="H25" s="89">
        <f t="shared" ref="H25:H28" si="28">AVERAGE(Q25:S25)</f>
        <v>-3.9389460853894591</v>
      </c>
      <c r="I25" s="89">
        <f t="shared" ref="I25:I28" si="29">AVERAGE(T25)</f>
        <v>-0.92355717938559978</v>
      </c>
      <c r="J25" s="89">
        <f t="shared" ref="J25:J28" si="30">AVERAGE(V25)</f>
        <v>-1.5974118735733673</v>
      </c>
      <c r="K25" s="89">
        <f t="shared" ref="K25:K28" si="31">AVERAGE(W25)</f>
        <v>3.7507094940651076E-2</v>
      </c>
      <c r="L25" s="89">
        <f t="shared" ref="L25:L28" si="32">AVERAGE(X25)</f>
        <v>0</v>
      </c>
      <c r="M25" s="89">
        <f t="shared" ref="M25:M28" si="33">AVERAGE(Y25)</f>
        <v>-0.96527273902587685</v>
      </c>
      <c r="N25" s="89">
        <f t="shared" ref="N25:N28" si="34">AVERAGE(Z25)</f>
        <v>0</v>
      </c>
      <c r="P25" s="92">
        <f t="shared" si="1"/>
        <v>-3.8889404579388045</v>
      </c>
      <c r="Q25" s="92">
        <f t="shared" si="2"/>
        <v>-4.1612246939823763</v>
      </c>
      <c r="R25" s="92">
        <f t="shared" si="3"/>
        <v>-3.7465601161730673</v>
      </c>
      <c r="S25" s="92">
        <f t="shared" si="4"/>
        <v>-3.9090534460129343</v>
      </c>
      <c r="T25" s="92">
        <f t="shared" si="5"/>
        <v>-0.92355717938559978</v>
      </c>
      <c r="U25" s="92">
        <f t="shared" si="6"/>
        <v>-3.4237945902322879</v>
      </c>
      <c r="V25" s="92">
        <f t="shared" si="7"/>
        <v>-1.5974118735733673</v>
      </c>
      <c r="W25" s="92">
        <f t="shared" si="8"/>
        <v>3.7507094940651076E-2</v>
      </c>
      <c r="X25" s="92">
        <f t="shared" si="9"/>
        <v>0</v>
      </c>
      <c r="Y25" s="92">
        <f t="shared" si="10"/>
        <v>-0.96527273902587685</v>
      </c>
      <c r="Z25" s="92">
        <f t="shared" si="11"/>
        <v>0</v>
      </c>
      <c r="AB25" s="94">
        <f>Emissions_All!C22</f>
        <v>90344699.241870731</v>
      </c>
      <c r="AC25" s="94">
        <f>Emissions_All!D22</f>
        <v>29624.023825426586</v>
      </c>
      <c r="AD25" s="94">
        <f>Emissions_All!E22</f>
        <v>15954.693233430386</v>
      </c>
      <c r="AE25" s="94">
        <f>Emissions_All!F22</f>
        <v>9907.5784248076379</v>
      </c>
      <c r="AF25" s="94">
        <f>Jobs_Creation!C21</f>
        <v>34519</v>
      </c>
      <c r="AG25" s="231">
        <f>PortfolioCost!D21/10^9</f>
        <v>25.074316654892353</v>
      </c>
      <c r="AH25" s="94">
        <f>DR_Peak_Capacity!C21</f>
        <v>258.51667795075838</v>
      </c>
      <c r="AI25" s="94">
        <f>DER_Solar_Participation!C21</f>
        <v>13311.74561247497</v>
      </c>
      <c r="AJ25" s="94">
        <f>EE_Added!C21</f>
        <v>695.07371999999998</v>
      </c>
      <c r="AK25" s="94">
        <f>DR_Participation!C21</f>
        <v>388130.08449216688</v>
      </c>
      <c r="AL25" s="94">
        <f>DER_Storage_Participation!C21</f>
        <v>8125.0872024574201</v>
      </c>
    </row>
    <row r="26" spans="1:38" s="7" customFormat="1" hidden="1" x14ac:dyDescent="0.3">
      <c r="A26" s="228">
        <v>0</v>
      </c>
      <c r="B26" s="229">
        <v>0</v>
      </c>
      <c r="C26" s="230">
        <f t="shared" si="26"/>
        <v>32.519608969197044</v>
      </c>
      <c r="D26" s="232">
        <f t="shared" si="25"/>
        <v>-20.84664822817858</v>
      </c>
      <c r="E26" s="90" t="e">
        <f>C26/(AG26/100)+1</f>
        <v>#DIV/0!</v>
      </c>
      <c r="G26" s="89">
        <f t="shared" si="27"/>
        <v>16.848498618329661</v>
      </c>
      <c r="H26" s="89">
        <f t="shared" si="28"/>
        <v>277.16301693292502</v>
      </c>
      <c r="I26" s="89">
        <f t="shared" si="29"/>
        <v>-3.7392936059921338</v>
      </c>
      <c r="J26" s="89">
        <f t="shared" si="30"/>
        <v>-14.197159947304193</v>
      </c>
      <c r="K26" s="89">
        <f t="shared" si="31"/>
        <v>-0.37296086394231909</v>
      </c>
      <c r="L26" s="89">
        <f t="shared" si="32"/>
        <v>-9.7484542879283449</v>
      </c>
      <c r="M26" s="89">
        <f t="shared" si="33"/>
        <v>-3.8986401850055601</v>
      </c>
      <c r="N26" s="89">
        <f t="shared" si="34"/>
        <v>-1.8981349075057736</v>
      </c>
      <c r="P26" s="92">
        <f t="shared" ref="P26:P28" si="35">IFERROR(-(AB26-AB$6)/_xlfn.STDEV.P(AB$6:AB$24),0)</f>
        <v>16.848498618329661</v>
      </c>
      <c r="Q26" s="92">
        <f t="shared" ref="Q26:Q28" si="36">IFERROR(-(AC26-AC$6)/_xlfn.STDEV.P(AC$6:AC$24),0)</f>
        <v>657.34812060454135</v>
      </c>
      <c r="R26" s="92">
        <f t="shared" ref="R26:R28" si="37">IFERROR(-(AD26-AD$6)/_xlfn.STDEV.P(AD$6:AD$24),0)</f>
        <v>26.525295534502838</v>
      </c>
      <c r="S26" s="92">
        <f t="shared" ref="S26:S28" si="38">IFERROR(-(AE26-AE$6)/_xlfn.STDEV.P(AE$6:AE$24),0)</f>
        <v>147.61563465973083</v>
      </c>
      <c r="T26" s="92">
        <f t="shared" ref="T26:T28" si="39">IFERROR((AF26-AF$6)/_xlfn.STDEV.P(AF$6:AF$24),0)</f>
        <v>-3.7392936059921338</v>
      </c>
      <c r="U26" s="92">
        <f t="shared" ref="U26:U28" si="40">IFERROR(-(AG26-AG$6)/_xlfn.STDEV.P(AG$6:AG$24),0)</f>
        <v>20.154153595891216</v>
      </c>
      <c r="V26" s="92">
        <f t="shared" ref="V26:V28" si="41">IFERROR((AH26-AH$6)/_xlfn.STDEV.P(AH$6:AH$24),0)</f>
        <v>-14.197159947304193</v>
      </c>
      <c r="W26" s="92">
        <f t="shared" ref="W26:W28" si="42">IFERROR((AI26-AI$6)/_xlfn.STDEV.P(AI$6:AI$24),0)</f>
        <v>-0.37296086394231909</v>
      </c>
      <c r="X26" s="92">
        <f t="shared" ref="X26:X28" si="43">IFERROR((AJ26-AJ$6)/_xlfn.STDEV.P(AJ$6:AJ$24),0)</f>
        <v>-9.7484542879283449</v>
      </c>
      <c r="Y26" s="92">
        <f t="shared" ref="Y26:Y28" si="44">IFERROR((AK26-AK$6)/_xlfn.STDEV.P(AK$6:AK$24),0)</f>
        <v>-3.8986401850055601</v>
      </c>
      <c r="Z26" s="92">
        <f t="shared" ref="Z26:Z28" si="45">IFERROR((AL26-AL$6)/_xlfn.STDEV.P(AL$6:AL$24),0)</f>
        <v>-1.8981349075057736</v>
      </c>
      <c r="AB26" s="94"/>
      <c r="AC26" s="94"/>
      <c r="AD26" s="94"/>
      <c r="AE26" s="94"/>
      <c r="AF26" s="94"/>
      <c r="AG26" s="231"/>
      <c r="AH26" s="94"/>
      <c r="AI26" s="94"/>
      <c r="AJ26" s="94"/>
      <c r="AK26" s="94"/>
      <c r="AL26" s="94"/>
    </row>
    <row r="27" spans="1:38" s="7" customFormat="1" hidden="1" x14ac:dyDescent="0.3">
      <c r="A27" s="228">
        <v>0</v>
      </c>
      <c r="B27" s="229">
        <v>0</v>
      </c>
      <c r="C27" s="230">
        <f t="shared" si="26"/>
        <v>32.519608969197044</v>
      </c>
      <c r="D27" s="232">
        <f t="shared" si="25"/>
        <v>-20.84664822817858</v>
      </c>
      <c r="E27" s="90" t="e">
        <f>C27/(AG27/100)+1</f>
        <v>#DIV/0!</v>
      </c>
      <c r="G27" s="89">
        <f t="shared" si="27"/>
        <v>16.848498618329661</v>
      </c>
      <c r="H27" s="89">
        <f t="shared" si="28"/>
        <v>277.16301693292502</v>
      </c>
      <c r="I27" s="89">
        <f t="shared" si="29"/>
        <v>-3.7392936059921338</v>
      </c>
      <c r="J27" s="89">
        <f t="shared" si="30"/>
        <v>-14.197159947304193</v>
      </c>
      <c r="K27" s="89">
        <f t="shared" si="31"/>
        <v>-0.37296086394231909</v>
      </c>
      <c r="L27" s="89">
        <f t="shared" si="32"/>
        <v>-9.7484542879283449</v>
      </c>
      <c r="M27" s="89">
        <f t="shared" si="33"/>
        <v>-3.8986401850055601</v>
      </c>
      <c r="N27" s="89">
        <f t="shared" si="34"/>
        <v>-1.8981349075057736</v>
      </c>
      <c r="P27" s="92">
        <f t="shared" si="35"/>
        <v>16.848498618329661</v>
      </c>
      <c r="Q27" s="92">
        <f t="shared" si="36"/>
        <v>657.34812060454135</v>
      </c>
      <c r="R27" s="92">
        <f t="shared" si="37"/>
        <v>26.525295534502838</v>
      </c>
      <c r="S27" s="92">
        <f t="shared" si="38"/>
        <v>147.61563465973083</v>
      </c>
      <c r="T27" s="92">
        <f t="shared" si="39"/>
        <v>-3.7392936059921338</v>
      </c>
      <c r="U27" s="92">
        <f t="shared" si="40"/>
        <v>20.154153595891216</v>
      </c>
      <c r="V27" s="92">
        <f t="shared" si="41"/>
        <v>-14.197159947304193</v>
      </c>
      <c r="W27" s="92">
        <f t="shared" si="42"/>
        <v>-0.37296086394231909</v>
      </c>
      <c r="X27" s="92">
        <f t="shared" si="43"/>
        <v>-9.7484542879283449</v>
      </c>
      <c r="Y27" s="92">
        <f t="shared" si="44"/>
        <v>-3.8986401850055601</v>
      </c>
      <c r="Z27" s="92">
        <f t="shared" si="45"/>
        <v>-1.8981349075057736</v>
      </c>
      <c r="AB27" s="94"/>
      <c r="AC27" s="94"/>
      <c r="AD27" s="94"/>
      <c r="AE27" s="94"/>
      <c r="AF27" s="94"/>
      <c r="AG27" s="94"/>
      <c r="AH27" s="94"/>
      <c r="AI27" s="94"/>
      <c r="AJ27" s="94"/>
      <c r="AK27" s="94"/>
      <c r="AL27" s="94"/>
    </row>
    <row r="28" spans="1:38" s="7" customFormat="1" hidden="1" x14ac:dyDescent="0.3">
      <c r="A28" s="228">
        <v>0</v>
      </c>
      <c r="B28" s="229">
        <v>0</v>
      </c>
      <c r="C28" s="230">
        <f t="shared" si="26"/>
        <v>32.519608969197044</v>
      </c>
      <c r="D28" s="232">
        <f t="shared" si="25"/>
        <v>-20.84664822817858</v>
      </c>
      <c r="E28" s="90" t="e">
        <f>C28/(AG28/100)+1</f>
        <v>#DIV/0!</v>
      </c>
      <c r="G28" s="89">
        <f t="shared" si="27"/>
        <v>16.848498618329661</v>
      </c>
      <c r="H28" s="89">
        <f t="shared" si="28"/>
        <v>277.16301693292502</v>
      </c>
      <c r="I28" s="89">
        <f t="shared" si="29"/>
        <v>-3.7392936059921338</v>
      </c>
      <c r="J28" s="89">
        <f t="shared" si="30"/>
        <v>-14.197159947304193</v>
      </c>
      <c r="K28" s="89">
        <f t="shared" si="31"/>
        <v>-0.37296086394231909</v>
      </c>
      <c r="L28" s="89">
        <f t="shared" si="32"/>
        <v>-9.7484542879283449</v>
      </c>
      <c r="M28" s="89">
        <f t="shared" si="33"/>
        <v>-3.8986401850055601</v>
      </c>
      <c r="N28" s="89">
        <f t="shared" si="34"/>
        <v>-1.8981349075057736</v>
      </c>
      <c r="P28" s="92">
        <f t="shared" si="35"/>
        <v>16.848498618329661</v>
      </c>
      <c r="Q28" s="92">
        <f t="shared" si="36"/>
        <v>657.34812060454135</v>
      </c>
      <c r="R28" s="92">
        <f t="shared" si="37"/>
        <v>26.525295534502838</v>
      </c>
      <c r="S28" s="92">
        <f t="shared" si="38"/>
        <v>147.61563465973083</v>
      </c>
      <c r="T28" s="92">
        <f t="shared" si="39"/>
        <v>-3.7392936059921338</v>
      </c>
      <c r="U28" s="92">
        <f t="shared" si="40"/>
        <v>20.154153595891216</v>
      </c>
      <c r="V28" s="92">
        <f t="shared" si="41"/>
        <v>-14.197159947304193</v>
      </c>
      <c r="W28" s="92">
        <f t="shared" si="42"/>
        <v>-0.37296086394231909</v>
      </c>
      <c r="X28" s="92">
        <f t="shared" si="43"/>
        <v>-9.7484542879283449</v>
      </c>
      <c r="Y28" s="92">
        <f t="shared" si="44"/>
        <v>-3.8986401850055601</v>
      </c>
      <c r="Z28" s="92">
        <f t="shared" si="45"/>
        <v>-1.8981349075057736</v>
      </c>
      <c r="AB28" s="94"/>
      <c r="AC28" s="94"/>
      <c r="AD28" s="94"/>
      <c r="AE28" s="94"/>
      <c r="AF28" s="94"/>
      <c r="AG28" s="231"/>
      <c r="AH28" s="94"/>
      <c r="AI28" s="94"/>
      <c r="AJ28" s="94"/>
      <c r="AK28" s="94"/>
      <c r="AL28" s="94"/>
    </row>
    <row r="29" spans="1:38" x14ac:dyDescent="0.3">
      <c r="AB29" s="3"/>
    </row>
    <row r="30" spans="1:38" x14ac:dyDescent="0.3">
      <c r="AB30" s="3"/>
    </row>
    <row r="31" spans="1:38" x14ac:dyDescent="0.3">
      <c r="AB31" s="3"/>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heetViews>
  <sheetFormatPr defaultRowHeight="14.4"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0"/>
  <sheetViews>
    <sheetView topLeftCell="A13" workbookViewId="0">
      <selection activeCell="B29" sqref="B29"/>
    </sheetView>
  </sheetViews>
  <sheetFormatPr defaultRowHeight="14.4" x14ac:dyDescent="0.3"/>
  <cols>
    <col min="1" max="1" width="30.33203125" bestFit="1" customWidth="1"/>
    <col min="2" max="2" width="55.33203125" customWidth="1"/>
    <col min="3" max="3" width="17.6640625" customWidth="1"/>
    <col min="4" max="4" width="12.6640625" customWidth="1"/>
    <col min="30" max="30" width="11.109375" bestFit="1" customWidth="1"/>
    <col min="31" max="31" width="8.6640625" customWidth="1"/>
    <col min="39" max="39" width="14" customWidth="1"/>
    <col min="40" max="40" width="53.109375" bestFit="1" customWidth="1"/>
  </cols>
  <sheetData>
    <row r="1" spans="1:40" x14ac:dyDescent="0.3">
      <c r="C1" s="157" t="s">
        <v>162</v>
      </c>
      <c r="AM1" s="157" t="s">
        <v>163</v>
      </c>
    </row>
    <row r="2" spans="1:40" ht="45.75" customHeight="1" x14ac:dyDescent="0.3">
      <c r="C2" s="4" t="s">
        <v>164</v>
      </c>
      <c r="D2" s="240" t="s">
        <v>59</v>
      </c>
      <c r="E2" s="241" t="s">
        <v>61</v>
      </c>
      <c r="F2" s="241" t="s">
        <v>63</v>
      </c>
      <c r="G2" s="241" t="s">
        <v>65</v>
      </c>
      <c r="H2" s="241" t="s">
        <v>67</v>
      </c>
      <c r="I2" s="241" t="s">
        <v>69</v>
      </c>
      <c r="J2" s="241" t="s">
        <v>71</v>
      </c>
      <c r="K2" s="241" t="s">
        <v>73</v>
      </c>
      <c r="L2" s="241" t="s">
        <v>75</v>
      </c>
      <c r="M2" s="241" t="s">
        <v>77</v>
      </c>
      <c r="N2" s="242" t="s">
        <v>80</v>
      </c>
      <c r="O2" s="241" t="s">
        <v>83</v>
      </c>
      <c r="P2" s="241" t="s">
        <v>86</v>
      </c>
      <c r="Q2" s="242" t="s">
        <v>89</v>
      </c>
      <c r="R2" s="241" t="s">
        <v>92</v>
      </c>
      <c r="S2" s="241" t="s">
        <v>95</v>
      </c>
      <c r="T2" s="241" t="s">
        <v>98</v>
      </c>
      <c r="U2" s="241" t="s">
        <v>100</v>
      </c>
      <c r="V2" s="241" t="s">
        <v>102</v>
      </c>
      <c r="W2" s="241" t="s">
        <v>165</v>
      </c>
      <c r="AM2" s="122" t="s">
        <v>56</v>
      </c>
      <c r="AN2" s="124" t="s">
        <v>57</v>
      </c>
    </row>
    <row r="3" spans="1:40" x14ac:dyDescent="0.3">
      <c r="A3" s="152" t="s">
        <v>9</v>
      </c>
      <c r="B3" s="152" t="s">
        <v>14</v>
      </c>
      <c r="C3" s="152" t="s">
        <v>166</v>
      </c>
      <c r="D3" s="235">
        <v>1</v>
      </c>
      <c r="E3" s="236">
        <v>2</v>
      </c>
      <c r="F3" s="236">
        <v>3</v>
      </c>
      <c r="G3" s="236">
        <v>4</v>
      </c>
      <c r="H3" s="236">
        <v>5</v>
      </c>
      <c r="I3" s="236">
        <v>6</v>
      </c>
      <c r="J3" s="236">
        <v>7</v>
      </c>
      <c r="K3" s="236">
        <v>8</v>
      </c>
      <c r="L3" s="236">
        <v>9</v>
      </c>
      <c r="M3" s="236">
        <v>10</v>
      </c>
      <c r="N3" s="237" t="s">
        <v>79</v>
      </c>
      <c r="O3" s="236" t="s">
        <v>82</v>
      </c>
      <c r="P3" s="236" t="s">
        <v>85</v>
      </c>
      <c r="Q3" s="237" t="s">
        <v>88</v>
      </c>
      <c r="R3" s="236" t="s">
        <v>91</v>
      </c>
      <c r="S3" s="236" t="s">
        <v>94</v>
      </c>
      <c r="T3" s="236" t="s">
        <v>97</v>
      </c>
      <c r="U3" s="236">
        <v>12</v>
      </c>
      <c r="V3" s="236">
        <v>13</v>
      </c>
      <c r="W3" s="236">
        <v>14</v>
      </c>
      <c r="AK3" s="158" t="s">
        <v>154</v>
      </c>
      <c r="AL3" s="96"/>
      <c r="AM3" s="159">
        <f t="array" ref="AM3:AM32">TRANSPOSE(D3:AK3)</f>
        <v>1</v>
      </c>
      <c r="AN3" s="154" t="str">
        <f t="array" ref="AN3:AN32">TRANSPOSE(D2:AJ2)</f>
        <v>Reference</v>
      </c>
    </row>
    <row r="4" spans="1:40" x14ac:dyDescent="0.3">
      <c r="A4" t="s">
        <v>167</v>
      </c>
      <c r="B4" s="1" t="s">
        <v>168</v>
      </c>
      <c r="D4" s="238">
        <v>20846648.228178583</v>
      </c>
      <c r="E4" s="239">
        <v>21653798.997941848</v>
      </c>
      <c r="F4" s="239">
        <v>20859553.919278238</v>
      </c>
      <c r="G4" s="239">
        <v>21077209.171618279</v>
      </c>
      <c r="H4" s="239">
        <v>20765250.096881624</v>
      </c>
      <c r="I4" s="239">
        <v>20874577.560431115</v>
      </c>
      <c r="J4" s="239">
        <v>21182535.580371194</v>
      </c>
      <c r="K4" s="239">
        <v>21282063.041680399</v>
      </c>
      <c r="L4" s="239">
        <v>22319807.370332055</v>
      </c>
      <c r="M4" s="239">
        <v>21752056.091785364</v>
      </c>
      <c r="N4" s="239">
        <v>22833307.055282857</v>
      </c>
      <c r="O4" s="239">
        <v>23246543.958925758</v>
      </c>
      <c r="P4" s="239">
        <v>23270266.167553362</v>
      </c>
      <c r="Q4" s="239">
        <v>23641991.348718196</v>
      </c>
      <c r="R4" s="239">
        <v>23671190.55722985</v>
      </c>
      <c r="S4" s="239">
        <v>21086702.797645256</v>
      </c>
      <c r="T4" s="239">
        <v>22511398.191198032</v>
      </c>
      <c r="U4" s="239"/>
      <c r="V4" s="239">
        <v>20832597.793563798</v>
      </c>
      <c r="W4" s="239">
        <v>25074316.654892351</v>
      </c>
      <c r="AK4" s="188" t="s">
        <v>154</v>
      </c>
      <c r="AM4" s="159">
        <v>2</v>
      </c>
      <c r="AN4" s="155" t="str">
        <v>DSM Bundle 10</v>
      </c>
    </row>
    <row r="5" spans="1:40" x14ac:dyDescent="0.3">
      <c r="A5" t="s">
        <v>169</v>
      </c>
      <c r="B5" s="1" t="s">
        <v>170</v>
      </c>
      <c r="D5" s="238">
        <v>17606979.078703985</v>
      </c>
      <c r="E5" s="239">
        <v>18583673.36788962</v>
      </c>
      <c r="F5" s="239">
        <v>17960738.076691721</v>
      </c>
      <c r="G5" s="239">
        <v>18058123.649808943</v>
      </c>
      <c r="H5" s="239">
        <v>17469703.649899524</v>
      </c>
      <c r="I5" s="239">
        <v>17813709.803429808</v>
      </c>
      <c r="J5" s="239">
        <v>18308755.609914839</v>
      </c>
      <c r="K5" s="239">
        <v>18164249.129217546</v>
      </c>
      <c r="L5" s="239">
        <v>19335152.331220523</v>
      </c>
      <c r="M5" s="239">
        <v>19283737.937404741</v>
      </c>
      <c r="N5" s="239">
        <v>20014607.50931935</v>
      </c>
      <c r="O5" s="239">
        <v>20318593.135461349</v>
      </c>
      <c r="P5" s="239">
        <v>20439934.973537821</v>
      </c>
      <c r="Q5" s="239">
        <v>20742998.818465829</v>
      </c>
      <c r="R5" s="239">
        <v>20894765.008568916</v>
      </c>
      <c r="S5" s="239">
        <v>18089366.761703558</v>
      </c>
      <c r="T5" s="239">
        <v>19560663.756156508</v>
      </c>
      <c r="U5" s="239"/>
      <c r="V5" s="239">
        <v>18114773.110965207</v>
      </c>
      <c r="W5" s="239">
        <v>19639702.732283942</v>
      </c>
      <c r="AK5" s="188" t="s">
        <v>154</v>
      </c>
      <c r="AM5" s="159">
        <v>3</v>
      </c>
      <c r="AN5" s="155" t="str">
        <v>DSM Bundle 7</v>
      </c>
    </row>
    <row r="6" spans="1:40" x14ac:dyDescent="0.3">
      <c r="A6" t="s">
        <v>171</v>
      </c>
      <c r="B6" s="1" t="s">
        <v>172</v>
      </c>
      <c r="D6" s="238">
        <v>3239669.1494746036</v>
      </c>
      <c r="E6" s="239">
        <v>3070125.6300522285</v>
      </c>
      <c r="F6" s="239">
        <v>2898815.8425865183</v>
      </c>
      <c r="G6" s="239">
        <v>3019085.5218093414</v>
      </c>
      <c r="H6" s="239">
        <v>3295546.4469820997</v>
      </c>
      <c r="I6" s="239">
        <v>3060867.7570013101</v>
      </c>
      <c r="J6" s="239">
        <v>2873779.9704563543</v>
      </c>
      <c r="K6" s="239">
        <v>3117813.9124628548</v>
      </c>
      <c r="L6" s="239">
        <v>2984655.0391115351</v>
      </c>
      <c r="M6" s="239">
        <v>2468318.1543806186</v>
      </c>
      <c r="N6" s="239">
        <v>2818699.5459635109</v>
      </c>
      <c r="O6" s="239">
        <v>2927950.8234644118</v>
      </c>
      <c r="P6" s="239">
        <v>2830331.1940155444</v>
      </c>
      <c r="Q6" s="239">
        <v>2898992.5302523682</v>
      </c>
      <c r="R6" s="239">
        <v>2776425.5486609368</v>
      </c>
      <c r="S6" s="239">
        <v>2997336.0359417046</v>
      </c>
      <c r="T6" s="239">
        <v>2950734.4350415207</v>
      </c>
      <c r="U6" s="239"/>
      <c r="V6" s="239">
        <v>2717824.6825985927</v>
      </c>
      <c r="W6" s="239">
        <v>5434613.9226084063</v>
      </c>
      <c r="AK6" s="188" t="s">
        <v>154</v>
      </c>
      <c r="AM6" s="159">
        <v>4</v>
      </c>
      <c r="AN6" s="155" t="str">
        <v>DER Solar</v>
      </c>
    </row>
    <row r="7" spans="1:40" x14ac:dyDescent="0.3">
      <c r="A7" t="s">
        <v>173</v>
      </c>
      <c r="B7" s="1" t="s">
        <v>174</v>
      </c>
      <c r="D7" s="238">
        <v>48824734.426647402</v>
      </c>
      <c r="E7" s="239">
        <v>46015276.267476037</v>
      </c>
      <c r="F7" s="239">
        <v>43773328.446320809</v>
      </c>
      <c r="G7" s="239">
        <v>45689278.133919604</v>
      </c>
      <c r="H7" s="239">
        <v>49661718.822040476</v>
      </c>
      <c r="I7" s="239">
        <v>46369490.667622931</v>
      </c>
      <c r="J7" s="239">
        <v>43176883.575529203</v>
      </c>
      <c r="K7" s="239">
        <v>47106951.966523558</v>
      </c>
      <c r="L7" s="239">
        <v>44754734.893816933</v>
      </c>
      <c r="M7" s="239">
        <v>36817308.636203535</v>
      </c>
      <c r="N7" s="239">
        <v>42499522.124366954</v>
      </c>
      <c r="O7" s="239">
        <v>43954496.325902477</v>
      </c>
      <c r="P7" s="239">
        <v>42523287.055220582</v>
      </c>
      <c r="Q7" s="239">
        <v>43090791.880220547</v>
      </c>
      <c r="R7" s="239">
        <v>41543008.34868174</v>
      </c>
      <c r="S7" s="239">
        <v>45019057.862438604</v>
      </c>
      <c r="T7" s="239">
        <v>44372601.42019628</v>
      </c>
      <c r="U7" s="239"/>
      <c r="V7" s="239">
        <v>40960978.151360974</v>
      </c>
      <c r="W7" s="239">
        <v>90344699.241870731</v>
      </c>
      <c r="AK7" s="188" t="s">
        <v>154</v>
      </c>
      <c r="AM7" s="159">
        <v>5</v>
      </c>
      <c r="AN7" s="155" t="str">
        <v>DER Batteries</v>
      </c>
    </row>
    <row r="8" spans="1:40" x14ac:dyDescent="0.3">
      <c r="A8" t="s">
        <v>175</v>
      </c>
      <c r="B8" s="1" t="s">
        <v>176</v>
      </c>
      <c r="D8" s="238">
        <v>28840.81857740361</v>
      </c>
      <c r="E8" s="239">
        <v>28789.308361614763</v>
      </c>
      <c r="F8" s="239">
        <v>28788.061987160821</v>
      </c>
      <c r="G8" s="239">
        <v>28769.97093434236</v>
      </c>
      <c r="H8" s="239">
        <v>28786.065698194725</v>
      </c>
      <c r="I8" s="239">
        <v>28779.373262693116</v>
      </c>
      <c r="J8" s="239">
        <v>28757.721942018543</v>
      </c>
      <c r="K8" s="239">
        <v>28805.083223394118</v>
      </c>
      <c r="L8" s="239">
        <v>28869.114275030966</v>
      </c>
      <c r="M8" s="239">
        <v>28728.269618337101</v>
      </c>
      <c r="N8" s="239">
        <v>28755.510114041623</v>
      </c>
      <c r="O8" s="239">
        <v>28861.168297736207</v>
      </c>
      <c r="P8" s="239">
        <v>28762.754012968333</v>
      </c>
      <c r="Q8" s="239">
        <v>28857.828079131432</v>
      </c>
      <c r="R8" s="239">
        <v>28835.872930682846</v>
      </c>
      <c r="S8" s="239">
        <v>28865.410256945004</v>
      </c>
      <c r="T8" s="239">
        <v>28759.32250823942</v>
      </c>
      <c r="U8" s="239"/>
      <c r="V8" s="239">
        <v>28844.408951232501</v>
      </c>
      <c r="W8" s="239">
        <v>29624.023825426586</v>
      </c>
      <c r="AK8" s="188" t="s">
        <v>154</v>
      </c>
      <c r="AM8" s="159">
        <v>6</v>
      </c>
      <c r="AN8" s="155" t="str">
        <v>MT Overbuild, PHES + All East Wind</v>
      </c>
    </row>
    <row r="9" spans="1:40" x14ac:dyDescent="0.3">
      <c r="A9" t="s">
        <v>177</v>
      </c>
      <c r="B9" s="1" t="s">
        <v>178</v>
      </c>
      <c r="D9" s="238">
        <v>11425.574821060523</v>
      </c>
      <c r="E9" s="239">
        <v>10926.103431843221</v>
      </c>
      <c r="F9" s="239">
        <v>10748.861633894965</v>
      </c>
      <c r="G9" s="239">
        <v>11136.076924441382</v>
      </c>
      <c r="H9" s="239">
        <v>11208.464695082977</v>
      </c>
      <c r="I9" s="239">
        <v>11089.966425802559</v>
      </c>
      <c r="J9" s="239">
        <v>11391.669268822297</v>
      </c>
      <c r="K9" s="239">
        <v>11285.431326186284</v>
      </c>
      <c r="L9" s="239">
        <v>11005.239313662052</v>
      </c>
      <c r="M9" s="239">
        <v>9629.5713372603059</v>
      </c>
      <c r="N9" s="239">
        <v>10640.407072126865</v>
      </c>
      <c r="O9" s="239">
        <v>10698.449973141775</v>
      </c>
      <c r="P9" s="239">
        <v>10662.588791197166</v>
      </c>
      <c r="Q9" s="239">
        <v>10598.30336789228</v>
      </c>
      <c r="R9" s="239">
        <v>10307.452456608415</v>
      </c>
      <c r="S9" s="239">
        <v>10847.638029536232</v>
      </c>
      <c r="T9" s="239">
        <v>10804.903426960111</v>
      </c>
      <c r="U9" s="239"/>
      <c r="V9" s="239">
        <v>11378.425156192854</v>
      </c>
      <c r="W9" s="239">
        <v>15954.693233430386</v>
      </c>
      <c r="AK9" s="188" t="s">
        <v>154</v>
      </c>
      <c r="AM9" s="159">
        <v>7</v>
      </c>
      <c r="AN9" s="155" t="str">
        <v>MT Overbuild, PHES + East, Central Wind</v>
      </c>
    </row>
    <row r="10" spans="1:40" x14ac:dyDescent="0.3">
      <c r="A10" t="s">
        <v>179</v>
      </c>
      <c r="B10" s="1" t="s">
        <v>180</v>
      </c>
      <c r="D10" s="238">
        <v>9035.9538655191427</v>
      </c>
      <c r="E10" s="239">
        <v>8969.8310538541991</v>
      </c>
      <c r="F10" s="239">
        <v>8927.4275558178779</v>
      </c>
      <c r="G10" s="239">
        <v>8970.690514553804</v>
      </c>
      <c r="H10" s="239">
        <v>9021.9382161208196</v>
      </c>
      <c r="I10" s="239">
        <v>8968.2614240969997</v>
      </c>
      <c r="J10" s="239">
        <v>8933.2721634873888</v>
      </c>
      <c r="K10" s="239">
        <v>9004.5764743310865</v>
      </c>
      <c r="L10" s="239">
        <v>8988.6435710857622</v>
      </c>
      <c r="M10" s="239">
        <v>8754.6387716820464</v>
      </c>
      <c r="N10" s="239">
        <v>8908.3608533667866</v>
      </c>
      <c r="O10" s="239">
        <v>8959.5337518480374</v>
      </c>
      <c r="P10" s="239">
        <v>8916.4643633617088</v>
      </c>
      <c r="Q10" s="239">
        <v>8949.9024199194973</v>
      </c>
      <c r="R10" s="239">
        <v>8872.7324627534254</v>
      </c>
      <c r="S10" s="239">
        <v>8975.4986748670926</v>
      </c>
      <c r="T10" s="239">
        <v>8940.1590769666946</v>
      </c>
      <c r="U10" s="239"/>
      <c r="V10" s="239">
        <v>8917.9439178118482</v>
      </c>
      <c r="W10" s="239">
        <v>9907.5784248076379</v>
      </c>
      <c r="AK10" s="188" t="s">
        <v>154</v>
      </c>
      <c r="AM10" s="159">
        <v>8</v>
      </c>
      <c r="AN10" s="155" t="str">
        <v>PNW PHES</v>
      </c>
    </row>
    <row r="11" spans="1:40" x14ac:dyDescent="0.3">
      <c r="A11" t="s">
        <v>181</v>
      </c>
      <c r="B11" s="1" t="s">
        <v>182</v>
      </c>
      <c r="D11" s="238">
        <v>0</v>
      </c>
      <c r="E11" s="239">
        <v>0</v>
      </c>
      <c r="F11" s="239">
        <v>0</v>
      </c>
      <c r="G11" s="239">
        <v>0</v>
      </c>
      <c r="H11" s="239">
        <v>0</v>
      </c>
      <c r="I11" s="239">
        <v>0</v>
      </c>
      <c r="J11" s="239">
        <v>0</v>
      </c>
      <c r="K11" s="239">
        <v>0</v>
      </c>
      <c r="L11" s="239">
        <v>0</v>
      </c>
      <c r="M11" s="239">
        <v>0</v>
      </c>
      <c r="N11" s="239">
        <v>0</v>
      </c>
      <c r="O11" s="239">
        <v>0</v>
      </c>
      <c r="P11" s="239">
        <v>0</v>
      </c>
      <c r="Q11" s="239">
        <v>0</v>
      </c>
      <c r="R11" s="239">
        <v>0</v>
      </c>
      <c r="S11" s="239">
        <v>0</v>
      </c>
      <c r="T11" s="239">
        <v>0</v>
      </c>
      <c r="U11" s="239"/>
      <c r="V11" s="239">
        <v>0</v>
      </c>
      <c r="W11" s="239">
        <v>0</v>
      </c>
      <c r="AK11" s="188" t="s">
        <v>154</v>
      </c>
      <c r="AM11" s="159">
        <v>9</v>
      </c>
      <c r="AN11" s="155" t="str">
        <v>Nuclear</v>
      </c>
    </row>
    <row r="12" spans="1:40" x14ac:dyDescent="0.3">
      <c r="A12" t="s">
        <v>183</v>
      </c>
      <c r="B12" s="1" t="s">
        <v>182</v>
      </c>
      <c r="D12" s="238">
        <v>0</v>
      </c>
      <c r="E12" s="239">
        <v>0</v>
      </c>
      <c r="F12" s="239">
        <v>0</v>
      </c>
      <c r="G12" s="239">
        <v>0</v>
      </c>
      <c r="H12" s="239">
        <v>0</v>
      </c>
      <c r="I12" s="239">
        <v>0</v>
      </c>
      <c r="J12" s="239">
        <v>0</v>
      </c>
      <c r="K12" s="239">
        <v>0</v>
      </c>
      <c r="L12" s="239">
        <v>0</v>
      </c>
      <c r="M12" s="239">
        <v>0</v>
      </c>
      <c r="N12" s="239">
        <v>0</v>
      </c>
      <c r="O12" s="239">
        <v>0</v>
      </c>
      <c r="P12" s="239">
        <v>0</v>
      </c>
      <c r="Q12" s="239">
        <v>0</v>
      </c>
      <c r="R12" s="239">
        <v>0</v>
      </c>
      <c r="S12" s="239">
        <v>0</v>
      </c>
      <c r="T12" s="239">
        <v>0</v>
      </c>
      <c r="U12" s="239"/>
      <c r="V12" s="239">
        <v>0</v>
      </c>
      <c r="W12" s="239">
        <v>0</v>
      </c>
      <c r="AK12" s="188" t="s">
        <v>154</v>
      </c>
      <c r="AM12" s="159">
        <v>10</v>
      </c>
      <c r="AN12" s="155" t="str">
        <v>Restricted Thermal</v>
      </c>
    </row>
    <row r="13" spans="1:40" x14ac:dyDescent="0.3">
      <c r="A13" t="s">
        <v>184</v>
      </c>
      <c r="B13" s="1" t="s">
        <v>182</v>
      </c>
      <c r="D13" s="238">
        <v>0</v>
      </c>
      <c r="E13" s="239">
        <v>0</v>
      </c>
      <c r="F13" s="239">
        <v>0</v>
      </c>
      <c r="G13" s="239">
        <v>0</v>
      </c>
      <c r="H13" s="239">
        <v>0</v>
      </c>
      <c r="I13" s="239">
        <v>0</v>
      </c>
      <c r="J13" s="239">
        <v>18.29999923706055</v>
      </c>
      <c r="K13" s="239">
        <v>0</v>
      </c>
      <c r="L13" s="239">
        <v>0</v>
      </c>
      <c r="M13" s="239">
        <v>0</v>
      </c>
      <c r="N13" s="239">
        <v>0</v>
      </c>
      <c r="O13" s="239">
        <v>0</v>
      </c>
      <c r="P13" s="239">
        <v>0</v>
      </c>
      <c r="Q13" s="239">
        <v>0</v>
      </c>
      <c r="R13" s="239">
        <v>0</v>
      </c>
      <c r="S13" s="239">
        <v>0</v>
      </c>
      <c r="T13" s="239">
        <v>0</v>
      </c>
      <c r="U13" s="239"/>
      <c r="V13" s="239">
        <v>18.29999923706055</v>
      </c>
      <c r="W13" s="239">
        <v>36.599998474121101</v>
      </c>
      <c r="AK13" s="188" t="s">
        <v>154</v>
      </c>
      <c r="AM13" s="159" t="str">
        <v>11 A1</v>
      </c>
      <c r="AN13" s="155" t="str">
        <v>Least Diversified w/ Nuclear</v>
      </c>
    </row>
    <row r="14" spans="1:40" x14ac:dyDescent="0.3">
      <c r="A14" t="s">
        <v>185</v>
      </c>
      <c r="B14" s="1" t="s">
        <v>182</v>
      </c>
      <c r="D14" s="238">
        <v>711</v>
      </c>
      <c r="E14" s="239">
        <v>237</v>
      </c>
      <c r="F14" s="239">
        <v>237</v>
      </c>
      <c r="G14" s="239">
        <v>237</v>
      </c>
      <c r="H14" s="239">
        <v>711</v>
      </c>
      <c r="I14" s="239">
        <v>474</v>
      </c>
      <c r="J14" s="239">
        <v>237</v>
      </c>
      <c r="K14" s="239">
        <v>237</v>
      </c>
      <c r="L14" s="239">
        <v>474</v>
      </c>
      <c r="M14" s="239">
        <v>948</v>
      </c>
      <c r="N14" s="239">
        <v>474</v>
      </c>
      <c r="O14" s="239">
        <v>711</v>
      </c>
      <c r="P14" s="239">
        <v>711</v>
      </c>
      <c r="Q14" s="239">
        <v>237</v>
      </c>
      <c r="R14" s="239">
        <v>711</v>
      </c>
      <c r="S14" s="239">
        <v>474</v>
      </c>
      <c r="T14" s="239">
        <v>237</v>
      </c>
      <c r="U14" s="239"/>
      <c r="V14" s="239">
        <v>474</v>
      </c>
      <c r="W14" s="239">
        <v>0</v>
      </c>
      <c r="AK14" s="188" t="s">
        <v>154</v>
      </c>
      <c r="AM14" s="159" t="str">
        <v>11 A2</v>
      </c>
      <c r="AN14" s="155" t="str">
        <v>Diversified + PNW PHES</v>
      </c>
    </row>
    <row r="15" spans="1:40" x14ac:dyDescent="0.3">
      <c r="A15" t="s">
        <v>186</v>
      </c>
      <c r="B15" s="1" t="s">
        <v>182</v>
      </c>
      <c r="D15" s="238">
        <v>365.99998474121099</v>
      </c>
      <c r="E15" s="239">
        <v>750.29996871948254</v>
      </c>
      <c r="F15" s="239">
        <v>933.299961090088</v>
      </c>
      <c r="G15" s="239">
        <v>658.7999725341798</v>
      </c>
      <c r="H15" s="239">
        <v>420.89998245239263</v>
      </c>
      <c r="I15" s="239">
        <v>658.7999725341798</v>
      </c>
      <c r="J15" s="239">
        <v>750.29996871948254</v>
      </c>
      <c r="K15" s="239">
        <v>530.69997787475597</v>
      </c>
      <c r="L15" s="239">
        <v>420.89998245239263</v>
      </c>
      <c r="M15" s="239">
        <v>384.29998397827154</v>
      </c>
      <c r="N15" s="239">
        <v>713.69997024536144</v>
      </c>
      <c r="O15" s="239">
        <v>494.09997940063482</v>
      </c>
      <c r="P15" s="239">
        <v>713.69997024536144</v>
      </c>
      <c r="Q15" s="239">
        <v>567.29997634887707</v>
      </c>
      <c r="R15" s="239">
        <v>475.79998016357428</v>
      </c>
      <c r="S15" s="239">
        <v>585.59997558593761</v>
      </c>
      <c r="T15" s="239">
        <v>640.49997329711925</v>
      </c>
      <c r="U15" s="239"/>
      <c r="V15" s="239">
        <v>567.29997634887707</v>
      </c>
      <c r="W15" s="239">
        <v>0</v>
      </c>
      <c r="AK15" s="188" t="s">
        <v>154</v>
      </c>
      <c r="AM15" s="159" t="str">
        <v>11 A3</v>
      </c>
      <c r="AN15" s="155" t="str">
        <v>Diversified + DER Solar</v>
      </c>
    </row>
    <row r="16" spans="1:40" x14ac:dyDescent="0.3">
      <c r="A16" t="s">
        <v>187</v>
      </c>
      <c r="B16" s="1" t="s">
        <v>182</v>
      </c>
      <c r="D16" s="238">
        <v>711</v>
      </c>
      <c r="E16" s="239">
        <v>711</v>
      </c>
      <c r="F16" s="239">
        <v>474</v>
      </c>
      <c r="G16" s="239">
        <v>948</v>
      </c>
      <c r="H16" s="239">
        <v>711</v>
      </c>
      <c r="I16" s="239">
        <v>711</v>
      </c>
      <c r="J16" s="239">
        <v>711</v>
      </c>
      <c r="K16" s="239">
        <v>948</v>
      </c>
      <c r="L16" s="239">
        <v>711</v>
      </c>
      <c r="M16" s="239">
        <v>237</v>
      </c>
      <c r="N16" s="239">
        <v>474</v>
      </c>
      <c r="O16" s="239">
        <v>474</v>
      </c>
      <c r="P16" s="239">
        <v>237</v>
      </c>
      <c r="Q16" s="239">
        <v>711</v>
      </c>
      <c r="R16" s="239">
        <v>474</v>
      </c>
      <c r="S16" s="239">
        <v>711</v>
      </c>
      <c r="T16" s="239">
        <v>711</v>
      </c>
      <c r="U16" s="239"/>
      <c r="V16" s="239">
        <v>711</v>
      </c>
      <c r="W16" s="239">
        <v>3555</v>
      </c>
      <c r="AK16" s="188" t="s">
        <v>154</v>
      </c>
      <c r="AM16" s="159" t="str">
        <v>11 A4</v>
      </c>
      <c r="AN16" s="155" t="str">
        <v>Diversified + DER Batteries</v>
      </c>
    </row>
    <row r="17" spans="1:40" x14ac:dyDescent="0.3">
      <c r="A17" t="s">
        <v>188</v>
      </c>
      <c r="B17" s="1" t="s">
        <v>182</v>
      </c>
      <c r="D17" s="238">
        <v>1700</v>
      </c>
      <c r="E17" s="239">
        <v>1200</v>
      </c>
      <c r="F17" s="239">
        <v>1100</v>
      </c>
      <c r="G17" s="239">
        <v>1400</v>
      </c>
      <c r="H17" s="239">
        <v>1300</v>
      </c>
      <c r="I17" s="239">
        <v>1500</v>
      </c>
      <c r="J17" s="239">
        <v>1000</v>
      </c>
      <c r="K17" s="239">
        <v>900</v>
      </c>
      <c r="L17" s="239">
        <v>1300</v>
      </c>
      <c r="M17" s="239">
        <v>1400</v>
      </c>
      <c r="N17" s="239">
        <v>1300</v>
      </c>
      <c r="O17" s="239">
        <v>1500</v>
      </c>
      <c r="P17" s="239">
        <v>1400</v>
      </c>
      <c r="Q17" s="239">
        <v>1100</v>
      </c>
      <c r="R17" s="239">
        <v>1300</v>
      </c>
      <c r="S17" s="239">
        <v>1200</v>
      </c>
      <c r="T17" s="239">
        <v>1300</v>
      </c>
      <c r="U17" s="239"/>
      <c r="V17" s="239">
        <v>1000</v>
      </c>
      <c r="W17" s="239">
        <v>0</v>
      </c>
      <c r="AK17" s="188" t="s">
        <v>154</v>
      </c>
      <c r="AM17" s="159" t="str">
        <v>11 A5</v>
      </c>
      <c r="AN17" s="155" t="str">
        <v>Diversified + All DR Programs</v>
      </c>
    </row>
    <row r="18" spans="1:40" x14ac:dyDescent="0.3">
      <c r="A18" t="s">
        <v>189</v>
      </c>
      <c r="B18" s="1" t="s">
        <v>182</v>
      </c>
      <c r="D18" s="238">
        <v>500</v>
      </c>
      <c r="E18" s="239">
        <v>300</v>
      </c>
      <c r="F18" s="239">
        <v>600</v>
      </c>
      <c r="G18" s="239">
        <v>600</v>
      </c>
      <c r="H18" s="239">
        <v>400</v>
      </c>
      <c r="I18" s="239">
        <v>200</v>
      </c>
      <c r="J18" s="239">
        <v>400</v>
      </c>
      <c r="K18" s="239">
        <v>300</v>
      </c>
      <c r="L18" s="239">
        <v>300</v>
      </c>
      <c r="M18" s="239">
        <v>200</v>
      </c>
      <c r="N18" s="239">
        <v>0</v>
      </c>
      <c r="O18" s="239">
        <v>100</v>
      </c>
      <c r="P18" s="239">
        <v>400</v>
      </c>
      <c r="Q18" s="239">
        <v>100</v>
      </c>
      <c r="R18" s="239">
        <v>200</v>
      </c>
      <c r="S18" s="239">
        <v>300</v>
      </c>
      <c r="T18" s="239">
        <v>100</v>
      </c>
      <c r="U18" s="239"/>
      <c r="V18" s="239">
        <v>400</v>
      </c>
      <c r="W18" s="239">
        <v>200</v>
      </c>
      <c r="AK18" s="188" t="s">
        <v>154</v>
      </c>
      <c r="AM18" s="159" t="str">
        <v>11 B1</v>
      </c>
      <c r="AN18" s="155" t="str">
        <v>Least Diversified w/o Nuclear</v>
      </c>
    </row>
    <row r="19" spans="1:40" x14ac:dyDescent="0.3">
      <c r="A19" t="s">
        <v>190</v>
      </c>
      <c r="B19" s="1" t="s">
        <v>182</v>
      </c>
      <c r="D19" s="238">
        <v>950</v>
      </c>
      <c r="E19" s="239">
        <v>1250</v>
      </c>
      <c r="F19" s="239">
        <v>1050</v>
      </c>
      <c r="G19" s="239">
        <v>1250</v>
      </c>
      <c r="H19" s="239">
        <v>1250</v>
      </c>
      <c r="I19" s="239">
        <v>1050</v>
      </c>
      <c r="J19" s="239">
        <v>1350</v>
      </c>
      <c r="K19" s="239">
        <v>1650</v>
      </c>
      <c r="L19" s="239">
        <v>1350</v>
      </c>
      <c r="M19" s="239">
        <v>1450</v>
      </c>
      <c r="N19" s="239">
        <v>1750</v>
      </c>
      <c r="O19" s="239">
        <v>1350</v>
      </c>
      <c r="P19" s="239">
        <v>1150</v>
      </c>
      <c r="Q19" s="239">
        <v>1550</v>
      </c>
      <c r="R19" s="239">
        <v>1550</v>
      </c>
      <c r="S19" s="239">
        <v>1250</v>
      </c>
      <c r="T19" s="239">
        <v>1650</v>
      </c>
      <c r="U19" s="239"/>
      <c r="V19" s="239">
        <v>1750</v>
      </c>
      <c r="W19" s="239">
        <v>650</v>
      </c>
      <c r="AK19" s="188" t="s">
        <v>154</v>
      </c>
      <c r="AM19" s="159" t="str">
        <v>11 B2</v>
      </c>
      <c r="AN19" s="155" t="str">
        <v>Most Diversified w/o Nuclear</v>
      </c>
    </row>
    <row r="20" spans="1:40" x14ac:dyDescent="0.3">
      <c r="A20" t="s">
        <v>191</v>
      </c>
      <c r="B20" s="1" t="s">
        <v>182</v>
      </c>
      <c r="D20" s="238">
        <v>0</v>
      </c>
      <c r="E20" s="239">
        <v>0</v>
      </c>
      <c r="F20" s="239">
        <v>0</v>
      </c>
      <c r="G20" s="239">
        <v>0</v>
      </c>
      <c r="H20" s="239">
        <v>0</v>
      </c>
      <c r="I20" s="239">
        <v>100</v>
      </c>
      <c r="J20" s="239">
        <v>200</v>
      </c>
      <c r="K20" s="239">
        <v>0</v>
      </c>
      <c r="L20" s="239">
        <v>0</v>
      </c>
      <c r="M20" s="239">
        <v>0</v>
      </c>
      <c r="N20" s="239">
        <v>0</v>
      </c>
      <c r="O20" s="239">
        <v>0</v>
      </c>
      <c r="P20" s="239">
        <v>0</v>
      </c>
      <c r="Q20" s="239">
        <v>0</v>
      </c>
      <c r="R20" s="239">
        <v>0</v>
      </c>
      <c r="S20" s="239">
        <v>0</v>
      </c>
      <c r="T20" s="239">
        <v>0</v>
      </c>
      <c r="U20" s="239"/>
      <c r="V20" s="239">
        <v>0</v>
      </c>
      <c r="W20" s="239">
        <v>0</v>
      </c>
      <c r="AK20" s="188" t="s">
        <v>154</v>
      </c>
      <c r="AM20" s="159">
        <v>12</v>
      </c>
      <c r="AN20" s="155" t="str">
        <v>100% Renewable/Non-Emitting by 2030</v>
      </c>
    </row>
    <row r="21" spans="1:40" x14ac:dyDescent="0.3">
      <c r="A21" t="s">
        <v>192</v>
      </c>
      <c r="B21" s="1" t="s">
        <v>182</v>
      </c>
      <c r="D21" s="238">
        <v>0</v>
      </c>
      <c r="E21" s="239">
        <v>0</v>
      </c>
      <c r="F21" s="239">
        <v>0</v>
      </c>
      <c r="G21" s="239">
        <v>0</v>
      </c>
      <c r="H21" s="239">
        <v>0</v>
      </c>
      <c r="I21" s="239">
        <v>0</v>
      </c>
      <c r="J21" s="239">
        <v>0</v>
      </c>
      <c r="K21" s="239">
        <v>0</v>
      </c>
      <c r="L21" s="239">
        <v>0</v>
      </c>
      <c r="M21" s="239">
        <v>0</v>
      </c>
      <c r="N21" s="239">
        <v>0</v>
      </c>
      <c r="O21" s="239">
        <v>0</v>
      </c>
      <c r="P21" s="239">
        <v>0</v>
      </c>
      <c r="Q21" s="239">
        <v>0</v>
      </c>
      <c r="R21" s="239">
        <v>0</v>
      </c>
      <c r="S21" s="239">
        <v>0</v>
      </c>
      <c r="T21" s="239">
        <v>0</v>
      </c>
      <c r="U21" s="239"/>
      <c r="V21" s="239">
        <v>0</v>
      </c>
      <c r="W21" s="239">
        <v>100</v>
      </c>
      <c r="AK21" s="188" t="s">
        <v>154</v>
      </c>
      <c r="AM21" s="159">
        <v>13</v>
      </c>
      <c r="AN21" s="154" t="str">
        <v>High Carbon Price</v>
      </c>
    </row>
    <row r="22" spans="1:40" x14ac:dyDescent="0.3">
      <c r="A22" t="s">
        <v>193</v>
      </c>
      <c r="B22" s="1" t="s">
        <v>182</v>
      </c>
      <c r="D22" s="238">
        <v>900</v>
      </c>
      <c r="E22" s="239">
        <v>700</v>
      </c>
      <c r="F22" s="239">
        <v>700</v>
      </c>
      <c r="G22" s="239">
        <v>600</v>
      </c>
      <c r="H22" s="239">
        <v>1000</v>
      </c>
      <c r="I22" s="239">
        <v>1000</v>
      </c>
      <c r="J22" s="239">
        <v>800</v>
      </c>
      <c r="K22" s="239">
        <v>500</v>
      </c>
      <c r="L22" s="239">
        <v>600</v>
      </c>
      <c r="M22" s="239">
        <v>300</v>
      </c>
      <c r="N22" s="239">
        <v>400</v>
      </c>
      <c r="O22" s="239">
        <v>500</v>
      </c>
      <c r="P22" s="239">
        <v>100</v>
      </c>
      <c r="Q22" s="239">
        <v>600</v>
      </c>
      <c r="R22" s="239">
        <v>200</v>
      </c>
      <c r="S22" s="239">
        <v>900</v>
      </c>
      <c r="T22" s="239">
        <v>600</v>
      </c>
      <c r="U22" s="239"/>
      <c r="V22" s="239">
        <v>600</v>
      </c>
      <c r="W22" s="239">
        <v>0</v>
      </c>
      <c r="AK22" s="188" t="s">
        <v>154</v>
      </c>
      <c r="AM22" s="159">
        <v>14</v>
      </c>
      <c r="AN22" s="154" t="str">
        <v>No H2 Fuel</v>
      </c>
    </row>
    <row r="23" spans="1:40" x14ac:dyDescent="0.3">
      <c r="A23" t="s">
        <v>194</v>
      </c>
      <c r="B23" s="1" t="s">
        <v>182</v>
      </c>
      <c r="D23" s="238">
        <v>0</v>
      </c>
      <c r="E23" s="239">
        <v>0</v>
      </c>
      <c r="F23" s="239">
        <v>100</v>
      </c>
      <c r="G23" s="239">
        <v>0</v>
      </c>
      <c r="H23" s="239">
        <v>0</v>
      </c>
      <c r="I23" s="239">
        <v>0</v>
      </c>
      <c r="J23" s="239">
        <v>0</v>
      </c>
      <c r="K23" s="239">
        <v>0</v>
      </c>
      <c r="L23" s="239">
        <v>0</v>
      </c>
      <c r="M23" s="239">
        <v>0</v>
      </c>
      <c r="N23" s="239">
        <v>0</v>
      </c>
      <c r="O23" s="239">
        <v>0</v>
      </c>
      <c r="P23" s="239">
        <v>0</v>
      </c>
      <c r="Q23" s="239">
        <v>0</v>
      </c>
      <c r="R23" s="239">
        <v>0</v>
      </c>
      <c r="S23" s="239">
        <v>0</v>
      </c>
      <c r="T23" s="239">
        <v>0</v>
      </c>
      <c r="U23" s="239"/>
      <c r="V23" s="239">
        <v>0</v>
      </c>
      <c r="W23" s="239">
        <v>0</v>
      </c>
      <c r="AK23" s="188" t="s">
        <v>154</v>
      </c>
      <c r="AM23" s="159">
        <v>0</v>
      </c>
      <c r="AN23" s="154">
        <v>0</v>
      </c>
    </row>
    <row r="24" spans="1:40" x14ac:dyDescent="0.3">
      <c r="A24" t="s">
        <v>195</v>
      </c>
      <c r="B24" s="1" t="s">
        <v>182</v>
      </c>
      <c r="D24" s="238">
        <v>0</v>
      </c>
      <c r="E24" s="239">
        <v>0</v>
      </c>
      <c r="F24" s="239">
        <v>0</v>
      </c>
      <c r="G24" s="239">
        <v>0</v>
      </c>
      <c r="H24" s="239">
        <v>0</v>
      </c>
      <c r="I24" s="239">
        <v>0</v>
      </c>
      <c r="J24" s="239">
        <v>0</v>
      </c>
      <c r="K24" s="239">
        <v>0</v>
      </c>
      <c r="L24" s="239">
        <v>0</v>
      </c>
      <c r="M24" s="239">
        <v>0</v>
      </c>
      <c r="N24" s="239">
        <v>0</v>
      </c>
      <c r="O24" s="239">
        <v>0</v>
      </c>
      <c r="P24" s="239">
        <v>0</v>
      </c>
      <c r="Q24" s="239">
        <v>0</v>
      </c>
      <c r="R24" s="239">
        <v>0</v>
      </c>
      <c r="S24" s="239">
        <v>0</v>
      </c>
      <c r="T24" s="239">
        <v>0</v>
      </c>
      <c r="U24" s="239"/>
      <c r="V24" s="239">
        <v>0</v>
      </c>
      <c r="W24" s="239">
        <v>0</v>
      </c>
      <c r="AK24" s="188" t="s">
        <v>154</v>
      </c>
      <c r="AM24" s="159">
        <v>0</v>
      </c>
      <c r="AN24" s="154">
        <v>0</v>
      </c>
    </row>
    <row r="25" spans="1:40" x14ac:dyDescent="0.3">
      <c r="A25" t="s">
        <v>196</v>
      </c>
      <c r="B25" s="1" t="s">
        <v>182</v>
      </c>
      <c r="D25" s="238">
        <v>1889.3999938964844</v>
      </c>
      <c r="E25" s="239">
        <v>2186.1500015258789</v>
      </c>
      <c r="F25" s="239">
        <v>1888.2699966430664</v>
      </c>
      <c r="G25" s="239">
        <v>1886.4399948120117</v>
      </c>
      <c r="H25" s="239">
        <v>1789.3500061035156</v>
      </c>
      <c r="I25" s="239">
        <v>1489.3999938964844</v>
      </c>
      <c r="J25" s="239">
        <v>1885.8000030517578</v>
      </c>
      <c r="K25" s="239">
        <v>1885.9499969482422</v>
      </c>
      <c r="L25" s="239">
        <v>1589.4000091552734</v>
      </c>
      <c r="M25" s="239">
        <v>2887.6699905395508</v>
      </c>
      <c r="N25" s="239">
        <v>2087.9999771118164</v>
      </c>
      <c r="O25" s="239">
        <v>1988.8000030517578</v>
      </c>
      <c r="P25" s="239">
        <v>2287.1099853515625</v>
      </c>
      <c r="Q25" s="239">
        <v>1588.9000091552734</v>
      </c>
      <c r="R25" s="239">
        <v>2187.8600006103516</v>
      </c>
      <c r="S25" s="239">
        <v>1590.9499969482422</v>
      </c>
      <c r="T25" s="239">
        <v>1988.9099731445313</v>
      </c>
      <c r="U25" s="239"/>
      <c r="V25" s="239">
        <v>1985.5500106811523</v>
      </c>
      <c r="W25" s="239">
        <v>893.50999450683594</v>
      </c>
      <c r="AK25" s="188" t="s">
        <v>154</v>
      </c>
      <c r="AM25" s="159">
        <v>0</v>
      </c>
      <c r="AN25" s="154">
        <v>0</v>
      </c>
    </row>
    <row r="26" spans="1:40" x14ac:dyDescent="0.3">
      <c r="A26" t="s">
        <v>197</v>
      </c>
      <c r="B26" s="1" t="s">
        <v>182</v>
      </c>
      <c r="D26" s="238">
        <v>499.94999694824219</v>
      </c>
      <c r="E26" s="239">
        <v>99.949996948242188</v>
      </c>
      <c r="F26" s="239">
        <v>199.39999389648438</v>
      </c>
      <c r="G26" s="239">
        <v>499.74998474121094</v>
      </c>
      <c r="H26" s="239">
        <v>100</v>
      </c>
      <c r="I26" s="239">
        <v>199.89999389648438</v>
      </c>
      <c r="J26" s="239">
        <v>0</v>
      </c>
      <c r="K26" s="239">
        <v>499.74998474121094</v>
      </c>
      <c r="L26" s="239">
        <v>699.74998474121094</v>
      </c>
      <c r="M26" s="239">
        <v>0</v>
      </c>
      <c r="N26" s="239">
        <v>0</v>
      </c>
      <c r="O26" s="239">
        <v>0</v>
      </c>
      <c r="P26" s="239">
        <v>699.39999389648438</v>
      </c>
      <c r="Q26" s="239">
        <v>300</v>
      </c>
      <c r="R26" s="239">
        <v>0</v>
      </c>
      <c r="S26" s="239">
        <v>199.89999389648438</v>
      </c>
      <c r="T26" s="239">
        <v>299.80000305175781</v>
      </c>
      <c r="U26" s="239"/>
      <c r="V26" s="239">
        <v>499.89999389648438</v>
      </c>
      <c r="W26" s="239">
        <v>1886.4999771118164</v>
      </c>
      <c r="AK26" s="188" t="s">
        <v>154</v>
      </c>
      <c r="AM26" s="159">
        <v>0</v>
      </c>
      <c r="AN26" s="154">
        <v>0</v>
      </c>
    </row>
    <row r="27" spans="1:40" x14ac:dyDescent="0.3">
      <c r="A27" t="s">
        <v>198</v>
      </c>
      <c r="B27" s="1" t="s">
        <v>182</v>
      </c>
      <c r="D27" s="238">
        <v>0</v>
      </c>
      <c r="E27" s="239">
        <v>0</v>
      </c>
      <c r="F27" s="239">
        <v>0</v>
      </c>
      <c r="G27" s="239">
        <v>0</v>
      </c>
      <c r="H27" s="239">
        <v>0</v>
      </c>
      <c r="I27" s="239">
        <v>0</v>
      </c>
      <c r="J27" s="239">
        <v>0</v>
      </c>
      <c r="K27" s="239">
        <v>0</v>
      </c>
      <c r="L27" s="239">
        <v>0</v>
      </c>
      <c r="M27" s="239">
        <v>0</v>
      </c>
      <c r="N27" s="239">
        <v>0</v>
      </c>
      <c r="O27" s="239">
        <v>0</v>
      </c>
      <c r="P27" s="239">
        <v>0</v>
      </c>
      <c r="Q27" s="239">
        <v>0</v>
      </c>
      <c r="R27" s="239">
        <v>0</v>
      </c>
      <c r="S27" s="239">
        <v>0</v>
      </c>
      <c r="T27" s="239">
        <v>0</v>
      </c>
      <c r="U27" s="239"/>
      <c r="V27" s="239">
        <v>0</v>
      </c>
      <c r="W27" s="239">
        <v>0</v>
      </c>
      <c r="AK27" s="188" t="s">
        <v>154</v>
      </c>
      <c r="AM27" s="159">
        <v>0</v>
      </c>
      <c r="AN27" s="154">
        <v>0</v>
      </c>
    </row>
    <row r="28" spans="1:40" x14ac:dyDescent="0.3">
      <c r="A28" t="s">
        <v>199</v>
      </c>
      <c r="B28" s="1" t="s">
        <v>182</v>
      </c>
      <c r="D28" s="238">
        <v>0</v>
      </c>
      <c r="E28" s="239">
        <v>0</v>
      </c>
      <c r="F28" s="239">
        <v>0</v>
      </c>
      <c r="G28" s="239">
        <v>0</v>
      </c>
      <c r="H28" s="239">
        <v>0</v>
      </c>
      <c r="I28" s="239">
        <v>0</v>
      </c>
      <c r="J28" s="239">
        <v>0</v>
      </c>
      <c r="K28" s="239">
        <v>0</v>
      </c>
      <c r="L28" s="239">
        <v>0</v>
      </c>
      <c r="M28" s="239">
        <v>0</v>
      </c>
      <c r="N28" s="239">
        <v>0</v>
      </c>
      <c r="O28" s="239">
        <v>0</v>
      </c>
      <c r="P28" s="239">
        <v>0</v>
      </c>
      <c r="Q28" s="239">
        <v>0</v>
      </c>
      <c r="R28" s="239">
        <v>0</v>
      </c>
      <c r="S28" s="239">
        <v>0</v>
      </c>
      <c r="T28" s="239">
        <v>0</v>
      </c>
      <c r="U28" s="239"/>
      <c r="V28" s="239">
        <v>0</v>
      </c>
      <c r="W28" s="239">
        <v>0</v>
      </c>
      <c r="AK28" s="188" t="s">
        <v>154</v>
      </c>
      <c r="AM28" s="159">
        <v>0</v>
      </c>
      <c r="AN28" s="154">
        <v>0</v>
      </c>
    </row>
    <row r="29" spans="1:40" x14ac:dyDescent="0.3">
      <c r="A29" t="s">
        <v>200</v>
      </c>
      <c r="B29" s="1" t="s">
        <v>182</v>
      </c>
      <c r="D29" s="238">
        <v>0</v>
      </c>
      <c r="E29" s="239">
        <v>0</v>
      </c>
      <c r="F29" s="239">
        <v>0</v>
      </c>
      <c r="G29" s="239">
        <v>0</v>
      </c>
      <c r="H29" s="239">
        <v>0</v>
      </c>
      <c r="I29" s="239">
        <v>0</v>
      </c>
      <c r="J29" s="239">
        <v>0</v>
      </c>
      <c r="K29" s="239">
        <v>0</v>
      </c>
      <c r="L29" s="239">
        <v>0</v>
      </c>
      <c r="M29" s="239">
        <v>0</v>
      </c>
      <c r="N29" s="239">
        <v>0</v>
      </c>
      <c r="O29" s="239">
        <v>0</v>
      </c>
      <c r="P29" s="239">
        <v>0</v>
      </c>
      <c r="Q29" s="239">
        <v>0</v>
      </c>
      <c r="R29" s="239">
        <v>0</v>
      </c>
      <c r="S29" s="239">
        <v>0</v>
      </c>
      <c r="T29" s="239">
        <v>0</v>
      </c>
      <c r="U29" s="239"/>
      <c r="V29" s="239">
        <v>0</v>
      </c>
      <c r="W29" s="239">
        <v>0</v>
      </c>
      <c r="AK29" s="188" t="s">
        <v>154</v>
      </c>
      <c r="AM29" s="159">
        <v>0</v>
      </c>
      <c r="AN29" s="154">
        <v>0</v>
      </c>
    </row>
    <row r="30" spans="1:40" x14ac:dyDescent="0.3">
      <c r="A30" t="s">
        <v>201</v>
      </c>
      <c r="B30" s="1" t="s">
        <v>182</v>
      </c>
      <c r="D30" s="238">
        <v>100</v>
      </c>
      <c r="E30" s="239">
        <v>100</v>
      </c>
      <c r="F30" s="239">
        <v>100</v>
      </c>
      <c r="G30" s="239">
        <v>100</v>
      </c>
      <c r="H30" s="239">
        <v>100</v>
      </c>
      <c r="I30" s="239">
        <v>100</v>
      </c>
      <c r="J30" s="239">
        <v>100</v>
      </c>
      <c r="K30" s="239">
        <v>100</v>
      </c>
      <c r="L30" s="239">
        <v>100</v>
      </c>
      <c r="M30" s="239">
        <v>100</v>
      </c>
      <c r="N30" s="239">
        <v>100</v>
      </c>
      <c r="O30" s="239">
        <v>100</v>
      </c>
      <c r="P30" s="239">
        <v>100</v>
      </c>
      <c r="Q30" s="239">
        <v>100</v>
      </c>
      <c r="R30" s="239">
        <v>100</v>
      </c>
      <c r="S30" s="239">
        <v>100</v>
      </c>
      <c r="T30" s="239">
        <v>100</v>
      </c>
      <c r="U30" s="239"/>
      <c r="V30" s="239">
        <v>100</v>
      </c>
      <c r="W30" s="239">
        <v>100</v>
      </c>
      <c r="AK30" s="188" t="s">
        <v>154</v>
      </c>
      <c r="AM30" s="159">
        <v>0</v>
      </c>
      <c r="AN30" s="154">
        <v>0</v>
      </c>
    </row>
    <row r="31" spans="1:40" x14ac:dyDescent="0.3">
      <c r="A31" t="s">
        <v>202</v>
      </c>
      <c r="B31" s="1" t="s">
        <v>182</v>
      </c>
      <c r="D31" s="238">
        <v>0</v>
      </c>
      <c r="E31" s="239">
        <v>0</v>
      </c>
      <c r="F31" s="239">
        <v>0</v>
      </c>
      <c r="G31" s="239">
        <v>0</v>
      </c>
      <c r="H31" s="239">
        <v>0</v>
      </c>
      <c r="I31" s="239">
        <v>0</v>
      </c>
      <c r="J31" s="239">
        <v>0</v>
      </c>
      <c r="K31" s="239">
        <v>0</v>
      </c>
      <c r="L31" s="239">
        <v>0</v>
      </c>
      <c r="M31" s="239">
        <v>0</v>
      </c>
      <c r="N31" s="239">
        <v>0</v>
      </c>
      <c r="O31" s="239">
        <v>0</v>
      </c>
      <c r="P31" s="239">
        <v>0</v>
      </c>
      <c r="Q31" s="239">
        <v>0</v>
      </c>
      <c r="R31" s="239">
        <v>0</v>
      </c>
      <c r="S31" s="239">
        <v>0</v>
      </c>
      <c r="T31" s="239">
        <v>0</v>
      </c>
      <c r="U31" s="239"/>
      <c r="V31" s="239">
        <v>0</v>
      </c>
      <c r="W31" s="239">
        <v>0</v>
      </c>
      <c r="AK31" s="188" t="s">
        <v>154</v>
      </c>
      <c r="AM31" s="159">
        <v>0</v>
      </c>
      <c r="AN31" s="154">
        <v>0</v>
      </c>
    </row>
    <row r="32" spans="1:40" x14ac:dyDescent="0.3">
      <c r="A32" t="s">
        <v>203</v>
      </c>
      <c r="B32" s="1" t="s">
        <v>182</v>
      </c>
      <c r="D32" s="238">
        <v>0</v>
      </c>
      <c r="E32" s="239">
        <v>0</v>
      </c>
      <c r="F32" s="239">
        <v>0</v>
      </c>
      <c r="G32" s="239">
        <v>0</v>
      </c>
      <c r="H32" s="239">
        <v>0</v>
      </c>
      <c r="I32" s="239">
        <v>0</v>
      </c>
      <c r="J32" s="239">
        <v>0</v>
      </c>
      <c r="K32" s="239">
        <v>0</v>
      </c>
      <c r="L32" s="239">
        <v>0</v>
      </c>
      <c r="M32" s="239">
        <v>300</v>
      </c>
      <c r="N32" s="239">
        <v>0</v>
      </c>
      <c r="O32" s="239">
        <v>0</v>
      </c>
      <c r="P32" s="239">
        <v>0</v>
      </c>
      <c r="Q32" s="239">
        <v>0</v>
      </c>
      <c r="R32" s="239">
        <v>0</v>
      </c>
      <c r="S32" s="239">
        <v>0</v>
      </c>
      <c r="T32" s="239">
        <v>0</v>
      </c>
      <c r="U32" s="239"/>
      <c r="V32" s="239">
        <v>0</v>
      </c>
      <c r="W32" s="239">
        <v>0</v>
      </c>
      <c r="AK32" s="188" t="s">
        <v>154</v>
      </c>
      <c r="AM32" s="160">
        <v>0</v>
      </c>
      <c r="AN32" s="156">
        <v>0</v>
      </c>
    </row>
    <row r="33" spans="1:37" x14ac:dyDescent="0.3">
      <c r="A33" t="s">
        <v>204</v>
      </c>
      <c r="B33" s="1" t="s">
        <v>182</v>
      </c>
      <c r="D33" s="238">
        <v>1200</v>
      </c>
      <c r="E33" s="239">
        <v>1700</v>
      </c>
      <c r="F33" s="239">
        <v>1900</v>
      </c>
      <c r="G33" s="239">
        <v>1300</v>
      </c>
      <c r="H33" s="239">
        <v>1500</v>
      </c>
      <c r="I33" s="239">
        <v>1100</v>
      </c>
      <c r="J33" s="239">
        <v>1300</v>
      </c>
      <c r="K33" s="239">
        <v>1100</v>
      </c>
      <c r="L33" s="239">
        <v>1500</v>
      </c>
      <c r="M33" s="239">
        <v>4500</v>
      </c>
      <c r="N33" s="239">
        <v>1400</v>
      </c>
      <c r="O33" s="239">
        <v>1100</v>
      </c>
      <c r="P33" s="239">
        <v>1300</v>
      </c>
      <c r="Q33" s="239">
        <v>1300</v>
      </c>
      <c r="R33" s="239">
        <v>1300</v>
      </c>
      <c r="S33" s="239">
        <v>1400</v>
      </c>
      <c r="T33" s="239">
        <v>1200</v>
      </c>
      <c r="U33" s="239"/>
      <c r="V33" s="239">
        <v>1300</v>
      </c>
      <c r="W33" s="239">
        <v>400</v>
      </c>
      <c r="AK33" s="188" t="s">
        <v>154</v>
      </c>
    </row>
    <row r="34" spans="1:37" x14ac:dyDescent="0.3">
      <c r="A34" t="s">
        <v>205</v>
      </c>
      <c r="B34" s="1" t="s">
        <v>182</v>
      </c>
      <c r="D34" s="238">
        <v>500</v>
      </c>
      <c r="E34" s="239">
        <v>0</v>
      </c>
      <c r="F34" s="239">
        <v>0</v>
      </c>
      <c r="G34" s="239">
        <v>300</v>
      </c>
      <c r="H34" s="239">
        <v>100</v>
      </c>
      <c r="I34" s="239">
        <v>200</v>
      </c>
      <c r="J34" s="239">
        <v>200</v>
      </c>
      <c r="K34" s="239">
        <v>400</v>
      </c>
      <c r="L34" s="239">
        <v>200</v>
      </c>
      <c r="M34" s="239">
        <v>0</v>
      </c>
      <c r="N34" s="239">
        <v>0</v>
      </c>
      <c r="O34" s="239">
        <v>100</v>
      </c>
      <c r="P34" s="239">
        <v>100</v>
      </c>
      <c r="Q34" s="239">
        <v>0</v>
      </c>
      <c r="R34" s="239">
        <v>100</v>
      </c>
      <c r="S34" s="239">
        <v>0</v>
      </c>
      <c r="T34" s="239">
        <v>200</v>
      </c>
      <c r="U34" s="239"/>
      <c r="V34" s="239">
        <v>200</v>
      </c>
      <c r="W34" s="239">
        <v>100</v>
      </c>
      <c r="AK34" s="188" t="s">
        <v>154</v>
      </c>
    </row>
    <row r="35" spans="1:37" x14ac:dyDescent="0.3">
      <c r="A35" t="s">
        <v>206</v>
      </c>
      <c r="B35" s="1" t="s">
        <v>182</v>
      </c>
      <c r="D35" s="238">
        <v>0</v>
      </c>
      <c r="E35" s="239">
        <v>0</v>
      </c>
      <c r="F35" s="239">
        <v>0</v>
      </c>
      <c r="G35" s="239">
        <v>0</v>
      </c>
      <c r="H35" s="239">
        <v>0</v>
      </c>
      <c r="I35" s="239">
        <v>200</v>
      </c>
      <c r="J35" s="239">
        <v>200</v>
      </c>
      <c r="K35" s="239">
        <v>0</v>
      </c>
      <c r="L35" s="239">
        <v>0</v>
      </c>
      <c r="M35" s="239">
        <v>0</v>
      </c>
      <c r="N35" s="239">
        <v>200</v>
      </c>
      <c r="O35" s="239">
        <v>200</v>
      </c>
      <c r="P35" s="239">
        <v>200</v>
      </c>
      <c r="Q35" s="239">
        <v>200</v>
      </c>
      <c r="R35" s="239">
        <v>200</v>
      </c>
      <c r="S35" s="239">
        <v>200</v>
      </c>
      <c r="T35" s="239">
        <v>200</v>
      </c>
      <c r="U35" s="239"/>
      <c r="V35" s="239">
        <v>0</v>
      </c>
      <c r="W35" s="239">
        <v>0</v>
      </c>
      <c r="AK35" s="188" t="s">
        <v>154</v>
      </c>
    </row>
    <row r="36" spans="1:37" x14ac:dyDescent="0.3">
      <c r="A36" t="s">
        <v>207</v>
      </c>
      <c r="B36" s="1" t="s">
        <v>182</v>
      </c>
      <c r="D36" s="238">
        <v>0</v>
      </c>
      <c r="E36" s="239">
        <v>0</v>
      </c>
      <c r="F36" s="239">
        <v>0</v>
      </c>
      <c r="G36" s="239">
        <v>0</v>
      </c>
      <c r="H36" s="239">
        <v>0</v>
      </c>
      <c r="I36" s="239">
        <v>0</v>
      </c>
      <c r="J36" s="239">
        <v>0</v>
      </c>
      <c r="K36" s="239">
        <v>200</v>
      </c>
      <c r="L36" s="239">
        <v>0</v>
      </c>
      <c r="M36" s="239">
        <v>0</v>
      </c>
      <c r="N36" s="239">
        <v>0</v>
      </c>
      <c r="O36" s="239">
        <v>200</v>
      </c>
      <c r="P36" s="239">
        <v>200</v>
      </c>
      <c r="Q36" s="239">
        <v>200</v>
      </c>
      <c r="R36" s="239">
        <v>200</v>
      </c>
      <c r="S36" s="239">
        <v>0</v>
      </c>
      <c r="T36" s="239">
        <v>200</v>
      </c>
      <c r="U36" s="239"/>
      <c r="V36" s="239">
        <v>0</v>
      </c>
      <c r="W36" s="239">
        <v>0</v>
      </c>
      <c r="AK36" s="188" t="s">
        <v>154</v>
      </c>
    </row>
    <row r="37" spans="1:37" x14ac:dyDescent="0.3">
      <c r="A37" t="s">
        <v>208</v>
      </c>
      <c r="B37" s="1" t="s">
        <v>182</v>
      </c>
      <c r="D37" s="238">
        <v>0</v>
      </c>
      <c r="E37" s="239">
        <v>0</v>
      </c>
      <c r="F37" s="239">
        <v>0</v>
      </c>
      <c r="G37" s="239">
        <v>0</v>
      </c>
      <c r="H37" s="239">
        <v>150</v>
      </c>
      <c r="I37" s="239">
        <v>0</v>
      </c>
      <c r="J37" s="239">
        <v>0</v>
      </c>
      <c r="K37" s="239">
        <v>0</v>
      </c>
      <c r="L37" s="239">
        <v>0</v>
      </c>
      <c r="M37" s="239">
        <v>0</v>
      </c>
      <c r="N37" s="239">
        <v>0</v>
      </c>
      <c r="O37" s="239">
        <v>10</v>
      </c>
      <c r="P37" s="239">
        <v>0</v>
      </c>
      <c r="Q37" s="239">
        <v>150</v>
      </c>
      <c r="R37" s="239">
        <v>150</v>
      </c>
      <c r="S37" s="239">
        <v>15</v>
      </c>
      <c r="T37" s="239">
        <v>150</v>
      </c>
      <c r="U37" s="239"/>
      <c r="V37" s="239">
        <v>0</v>
      </c>
      <c r="W37" s="239">
        <v>0</v>
      </c>
      <c r="AK37" s="188" t="s">
        <v>154</v>
      </c>
    </row>
    <row r="38" spans="1:37" x14ac:dyDescent="0.3">
      <c r="A38" t="s">
        <v>209</v>
      </c>
      <c r="B38" s="1" t="s">
        <v>182</v>
      </c>
      <c r="D38" s="238">
        <v>1050</v>
      </c>
      <c r="E38" s="239">
        <v>1200</v>
      </c>
      <c r="F38" s="239">
        <v>1050</v>
      </c>
      <c r="G38" s="239">
        <v>1050</v>
      </c>
      <c r="H38" s="239">
        <v>1050</v>
      </c>
      <c r="I38" s="239">
        <v>1500</v>
      </c>
      <c r="J38" s="239">
        <v>1350</v>
      </c>
      <c r="K38" s="239">
        <v>1650</v>
      </c>
      <c r="L38" s="239">
        <v>1200</v>
      </c>
      <c r="M38" s="239">
        <v>1950</v>
      </c>
      <c r="N38" s="239">
        <v>750</v>
      </c>
      <c r="O38" s="239">
        <v>450</v>
      </c>
      <c r="P38" s="239">
        <v>1200</v>
      </c>
      <c r="Q38" s="239">
        <v>1200</v>
      </c>
      <c r="R38" s="239">
        <v>1200</v>
      </c>
      <c r="S38" s="239">
        <v>900</v>
      </c>
      <c r="T38" s="239">
        <v>1050</v>
      </c>
      <c r="U38" s="239"/>
      <c r="V38" s="239">
        <v>1800</v>
      </c>
      <c r="W38" s="239">
        <v>750</v>
      </c>
      <c r="AK38" s="188" t="s">
        <v>154</v>
      </c>
    </row>
    <row r="39" spans="1:37" x14ac:dyDescent="0.3">
      <c r="A39" t="s">
        <v>210</v>
      </c>
      <c r="B39" s="1" t="s">
        <v>182</v>
      </c>
      <c r="D39" s="238">
        <v>0</v>
      </c>
      <c r="E39" s="239">
        <v>0</v>
      </c>
      <c r="F39" s="239">
        <v>148.95999908447266</v>
      </c>
      <c r="G39" s="239">
        <v>149.19999694824219</v>
      </c>
      <c r="H39" s="239">
        <v>447.59999084472656</v>
      </c>
      <c r="I39" s="239">
        <v>149.69999694824219</v>
      </c>
      <c r="J39" s="239">
        <v>149.19999694824219</v>
      </c>
      <c r="K39" s="239">
        <v>149.75</v>
      </c>
      <c r="L39" s="239">
        <v>298.11000061035156</v>
      </c>
      <c r="M39" s="239">
        <v>0</v>
      </c>
      <c r="N39" s="239">
        <v>149.15000152587891</v>
      </c>
      <c r="O39" s="239">
        <v>447.26000213623047</v>
      </c>
      <c r="P39" s="239">
        <v>0</v>
      </c>
      <c r="Q39" s="239">
        <v>298.95000457763672</v>
      </c>
      <c r="R39" s="239">
        <v>0</v>
      </c>
      <c r="S39" s="239">
        <v>596.55000305175781</v>
      </c>
      <c r="T39" s="239">
        <v>447.35999298095703</v>
      </c>
      <c r="U39" s="239"/>
      <c r="V39" s="239">
        <v>0</v>
      </c>
      <c r="W39" s="239">
        <v>299.05000305175781</v>
      </c>
      <c r="AK39" s="188" t="s">
        <v>154</v>
      </c>
    </row>
    <row r="40" spans="1:37" x14ac:dyDescent="0.3">
      <c r="A40" t="s">
        <v>211</v>
      </c>
      <c r="B40" s="1" t="s">
        <v>182</v>
      </c>
      <c r="D40" s="238">
        <v>498.15000152587891</v>
      </c>
      <c r="E40" s="239">
        <v>497.91999816894531</v>
      </c>
      <c r="F40" s="239">
        <v>747.75000762939453</v>
      </c>
      <c r="G40" s="239">
        <v>498.15999603271484</v>
      </c>
      <c r="H40" s="239">
        <v>249.34999847412109</v>
      </c>
      <c r="I40" s="239">
        <v>498.89999389648438</v>
      </c>
      <c r="J40" s="239">
        <v>498.59999847412109</v>
      </c>
      <c r="K40" s="239">
        <v>249.34999847412109</v>
      </c>
      <c r="L40" s="239">
        <v>248.95999908447266</v>
      </c>
      <c r="M40" s="239">
        <v>498.39999389648438</v>
      </c>
      <c r="N40" s="239">
        <v>497.91999816894531</v>
      </c>
      <c r="O40" s="239">
        <v>497.95999908447266</v>
      </c>
      <c r="P40" s="239">
        <v>248.95999908447266</v>
      </c>
      <c r="Q40" s="239">
        <v>249.09999847412109</v>
      </c>
      <c r="R40" s="239">
        <v>248.95999908447266</v>
      </c>
      <c r="S40" s="239">
        <v>498.30000305175781</v>
      </c>
      <c r="T40" s="239">
        <v>249.05000305175781</v>
      </c>
      <c r="U40" s="239"/>
      <c r="V40" s="239">
        <v>0</v>
      </c>
      <c r="W40" s="239">
        <v>1495.75</v>
      </c>
      <c r="AK40" s="188" t="s">
        <v>154</v>
      </c>
    </row>
    <row r="41" spans="1:37" x14ac:dyDescent="0.3">
      <c r="A41" t="s">
        <v>212</v>
      </c>
      <c r="B41" s="1" t="s">
        <v>182</v>
      </c>
      <c r="D41" s="238">
        <v>0</v>
      </c>
      <c r="E41" s="239">
        <v>0</v>
      </c>
      <c r="F41" s="239">
        <v>0</v>
      </c>
      <c r="G41" s="239">
        <v>0</v>
      </c>
      <c r="H41" s="239">
        <v>0</v>
      </c>
      <c r="I41" s="239">
        <v>0</v>
      </c>
      <c r="J41" s="239">
        <v>0</v>
      </c>
      <c r="K41" s="239">
        <v>0</v>
      </c>
      <c r="L41" s="239">
        <v>0</v>
      </c>
      <c r="M41" s="239">
        <v>0</v>
      </c>
      <c r="N41" s="239">
        <v>0</v>
      </c>
      <c r="O41" s="239">
        <v>0</v>
      </c>
      <c r="P41" s="239">
        <v>0</v>
      </c>
      <c r="Q41" s="239">
        <v>0</v>
      </c>
      <c r="R41" s="239">
        <v>0</v>
      </c>
      <c r="S41" s="239">
        <v>0</v>
      </c>
      <c r="T41" s="239">
        <v>0</v>
      </c>
      <c r="U41" s="239"/>
      <c r="V41" s="239">
        <v>0</v>
      </c>
      <c r="W41" s="239">
        <v>0</v>
      </c>
      <c r="AK41" s="188" t="s">
        <v>154</v>
      </c>
    </row>
    <row r="42" spans="1:37" x14ac:dyDescent="0.3">
      <c r="A42" t="s">
        <v>213</v>
      </c>
      <c r="B42" s="1" t="s">
        <v>182</v>
      </c>
      <c r="D42" s="238">
        <v>0</v>
      </c>
      <c r="E42" s="239">
        <v>0</v>
      </c>
      <c r="F42" s="239">
        <v>0</v>
      </c>
      <c r="G42" s="239">
        <v>0</v>
      </c>
      <c r="H42" s="239">
        <v>0</v>
      </c>
      <c r="I42" s="239">
        <v>0</v>
      </c>
      <c r="J42" s="239">
        <v>0</v>
      </c>
      <c r="K42" s="239">
        <v>0</v>
      </c>
      <c r="L42" s="239">
        <v>250</v>
      </c>
      <c r="M42" s="239">
        <v>0</v>
      </c>
      <c r="N42" s="239">
        <v>250</v>
      </c>
      <c r="O42" s="239">
        <v>250</v>
      </c>
      <c r="P42" s="239">
        <v>250</v>
      </c>
      <c r="Q42" s="239">
        <v>250</v>
      </c>
      <c r="R42" s="239">
        <v>250</v>
      </c>
      <c r="S42" s="239">
        <v>0</v>
      </c>
      <c r="T42" s="239">
        <v>0</v>
      </c>
      <c r="U42" s="239"/>
      <c r="V42" s="239">
        <v>0</v>
      </c>
      <c r="W42" s="239">
        <v>100</v>
      </c>
      <c r="AK42" s="188" t="s">
        <v>154</v>
      </c>
    </row>
    <row r="43" spans="1:37" x14ac:dyDescent="0.3">
      <c r="A43" t="s">
        <v>214</v>
      </c>
      <c r="B43" s="1" t="s">
        <v>182</v>
      </c>
      <c r="D43" s="238">
        <v>0</v>
      </c>
      <c r="E43" s="239">
        <v>0</v>
      </c>
      <c r="F43" s="239">
        <v>0</v>
      </c>
      <c r="G43" s="239">
        <v>0</v>
      </c>
      <c r="H43" s="239">
        <v>0</v>
      </c>
      <c r="I43" s="239">
        <v>0</v>
      </c>
      <c r="J43" s="239">
        <v>0</v>
      </c>
      <c r="K43" s="239">
        <v>0</v>
      </c>
      <c r="L43" s="239">
        <v>0</v>
      </c>
      <c r="M43" s="239">
        <v>0</v>
      </c>
      <c r="N43" s="239">
        <v>0</v>
      </c>
      <c r="O43" s="239">
        <v>0</v>
      </c>
      <c r="P43" s="239">
        <v>0</v>
      </c>
      <c r="Q43" s="239">
        <v>0</v>
      </c>
      <c r="R43" s="239">
        <v>0</v>
      </c>
      <c r="S43" s="239">
        <v>0</v>
      </c>
      <c r="T43" s="239">
        <v>0</v>
      </c>
      <c r="U43" s="239"/>
      <c r="V43" s="239">
        <v>0</v>
      </c>
      <c r="W43" s="239">
        <v>0</v>
      </c>
      <c r="AK43" s="188" t="s">
        <v>154</v>
      </c>
    </row>
    <row r="44" spans="1:37" x14ac:dyDescent="0.3">
      <c r="A44" t="s">
        <v>215</v>
      </c>
      <c r="B44" s="1" t="s">
        <v>182</v>
      </c>
      <c r="D44" s="238">
        <v>0</v>
      </c>
      <c r="E44" s="239">
        <v>0</v>
      </c>
      <c r="F44" s="239">
        <v>0</v>
      </c>
      <c r="G44" s="239">
        <v>0</v>
      </c>
      <c r="H44" s="239">
        <v>0</v>
      </c>
      <c r="I44" s="239">
        <v>0</v>
      </c>
      <c r="J44" s="239">
        <v>0</v>
      </c>
      <c r="K44" s="239">
        <v>0</v>
      </c>
      <c r="L44" s="239">
        <v>0</v>
      </c>
      <c r="M44" s="239">
        <v>0</v>
      </c>
      <c r="N44" s="239">
        <v>0</v>
      </c>
      <c r="O44" s="239">
        <v>0</v>
      </c>
      <c r="P44" s="239">
        <v>0</v>
      </c>
      <c r="Q44" s="239">
        <v>0</v>
      </c>
      <c r="R44" s="239">
        <v>0</v>
      </c>
      <c r="S44" s="239">
        <v>0</v>
      </c>
      <c r="T44" s="239">
        <v>10</v>
      </c>
      <c r="U44" s="239"/>
      <c r="V44" s="239">
        <v>0</v>
      </c>
      <c r="W44" s="239">
        <v>10</v>
      </c>
      <c r="AK44" s="188" t="s">
        <v>154</v>
      </c>
    </row>
    <row r="45" spans="1:37" x14ac:dyDescent="0.3">
      <c r="A45" t="s">
        <v>216</v>
      </c>
      <c r="B45" s="1" t="s">
        <v>182</v>
      </c>
      <c r="D45" s="238">
        <v>0</v>
      </c>
      <c r="E45" s="239">
        <v>0</v>
      </c>
      <c r="F45" s="239">
        <v>0</v>
      </c>
      <c r="G45" s="239">
        <v>600</v>
      </c>
      <c r="H45" s="239">
        <v>0</v>
      </c>
      <c r="I45" s="239">
        <v>0</v>
      </c>
      <c r="J45" s="239">
        <v>0</v>
      </c>
      <c r="K45" s="239">
        <v>0</v>
      </c>
      <c r="L45" s="239">
        <v>0</v>
      </c>
      <c r="M45" s="239">
        <v>0</v>
      </c>
      <c r="N45" s="239">
        <v>0</v>
      </c>
      <c r="O45" s="239">
        <v>0</v>
      </c>
      <c r="P45" s="239">
        <v>600</v>
      </c>
      <c r="Q45" s="239">
        <v>600</v>
      </c>
      <c r="R45" s="239">
        <v>600</v>
      </c>
      <c r="S45" s="239">
        <v>0</v>
      </c>
      <c r="T45" s="239">
        <v>620</v>
      </c>
      <c r="U45" s="239"/>
      <c r="V45" s="239">
        <v>0</v>
      </c>
      <c r="W45" s="239">
        <v>0</v>
      </c>
      <c r="AK45" s="188" t="s">
        <v>154</v>
      </c>
    </row>
    <row r="46" spans="1:37" x14ac:dyDescent="0.3">
      <c r="A46" t="s">
        <v>217</v>
      </c>
      <c r="B46" s="1" t="s">
        <v>182</v>
      </c>
      <c r="D46" s="238">
        <v>22.260000228881839</v>
      </c>
      <c r="E46" s="239">
        <v>22.260000228881839</v>
      </c>
      <c r="F46" s="239">
        <v>22.260000228881839</v>
      </c>
      <c r="G46" s="239">
        <v>22.260000228881839</v>
      </c>
      <c r="H46" s="239">
        <v>22.260000228881839</v>
      </c>
      <c r="I46" s="239">
        <v>22.260000228881839</v>
      </c>
      <c r="J46" s="239">
        <v>22.260000228881839</v>
      </c>
      <c r="K46" s="239">
        <v>22.260000228881839</v>
      </c>
      <c r="L46" s="239">
        <v>22.260000228881839</v>
      </c>
      <c r="M46" s="239">
        <v>22.260000228881839</v>
      </c>
      <c r="N46" s="239">
        <v>22.260000228881839</v>
      </c>
      <c r="O46" s="239">
        <v>22.260000228881839</v>
      </c>
      <c r="P46" s="239">
        <v>22.260000228881839</v>
      </c>
      <c r="Q46" s="239">
        <v>22.260000228881839</v>
      </c>
      <c r="R46" s="239">
        <v>22.260000228881839</v>
      </c>
      <c r="S46" s="239">
        <v>22.260000228881839</v>
      </c>
      <c r="T46" s="239">
        <v>22.260000228881839</v>
      </c>
      <c r="U46" s="239"/>
      <c r="V46" s="239">
        <v>22.260000228881839</v>
      </c>
      <c r="W46" s="239">
        <v>22.260000228881839</v>
      </c>
      <c r="AK46" s="188" t="s">
        <v>154</v>
      </c>
    </row>
    <row r="47" spans="1:37" x14ac:dyDescent="0.3">
      <c r="A47" t="s">
        <v>218</v>
      </c>
      <c r="B47" s="1" t="s">
        <v>182</v>
      </c>
      <c r="D47" s="238">
        <v>91.599998474121094</v>
      </c>
      <c r="E47" s="239">
        <v>91.599998474121094</v>
      </c>
      <c r="F47" s="239">
        <v>91.599998474121094</v>
      </c>
      <c r="G47" s="239">
        <v>91.599998474121094</v>
      </c>
      <c r="H47" s="239">
        <v>91.599998474121094</v>
      </c>
      <c r="I47" s="239">
        <v>91.599998474121094</v>
      </c>
      <c r="J47" s="239">
        <v>91.599998474121094</v>
      </c>
      <c r="K47" s="239">
        <v>91.599998474121094</v>
      </c>
      <c r="L47" s="239">
        <v>91.599998474121094</v>
      </c>
      <c r="M47" s="239">
        <v>91.599998474121094</v>
      </c>
      <c r="N47" s="239">
        <v>91.599998474121094</v>
      </c>
      <c r="O47" s="239">
        <v>91.599998474121094</v>
      </c>
      <c r="P47" s="239">
        <v>91.599998474121094</v>
      </c>
      <c r="Q47" s="239">
        <v>91.599998474121094</v>
      </c>
      <c r="R47" s="239">
        <v>91.599998474121094</v>
      </c>
      <c r="S47" s="239">
        <v>91.599998474121094</v>
      </c>
      <c r="T47" s="239">
        <v>91.599998474121094</v>
      </c>
      <c r="U47" s="239"/>
      <c r="V47" s="239">
        <v>91.599998474121094</v>
      </c>
      <c r="W47" s="239">
        <v>91.599998474121094</v>
      </c>
      <c r="AK47" s="188" t="s">
        <v>154</v>
      </c>
    </row>
    <row r="48" spans="1:37" x14ac:dyDescent="0.3">
      <c r="A48" t="s">
        <v>219</v>
      </c>
      <c r="B48" s="1" t="s">
        <v>182</v>
      </c>
      <c r="D48" s="238">
        <v>404.92999994754791</v>
      </c>
      <c r="E48" s="239">
        <v>360.05999863147736</v>
      </c>
      <c r="F48" s="239">
        <v>397.55000030994415</v>
      </c>
      <c r="G48" s="239">
        <v>363.50999867916107</v>
      </c>
      <c r="H48" s="239">
        <v>360.05999863147736</v>
      </c>
      <c r="I48" s="239">
        <v>360.05999863147736</v>
      </c>
      <c r="J48" s="239">
        <v>360.05999863147736</v>
      </c>
      <c r="K48" s="239">
        <v>363.45999872684479</v>
      </c>
      <c r="L48" s="239">
        <v>360.05999863147736</v>
      </c>
      <c r="M48" s="239">
        <v>360.05999863147736</v>
      </c>
      <c r="N48" s="239">
        <v>397.55000030994415</v>
      </c>
      <c r="O48" s="239">
        <v>363.45999872684479</v>
      </c>
      <c r="P48" s="239">
        <v>399.18999946117401</v>
      </c>
      <c r="Q48" s="239">
        <v>360.05999863147736</v>
      </c>
      <c r="R48" s="239">
        <v>446.23999869823456</v>
      </c>
      <c r="S48" s="239">
        <v>360.05999863147736</v>
      </c>
      <c r="T48" s="239">
        <v>446.23999869823456</v>
      </c>
      <c r="U48" s="239"/>
      <c r="V48" s="239">
        <v>363.48999869823456</v>
      </c>
      <c r="W48" s="239">
        <v>360.05999863147736</v>
      </c>
      <c r="AK48" s="188" t="s">
        <v>154</v>
      </c>
    </row>
    <row r="49" spans="1:37" x14ac:dyDescent="0.3">
      <c r="A49" t="s">
        <v>220</v>
      </c>
      <c r="B49" s="1" t="s">
        <v>182</v>
      </c>
      <c r="D49" s="238">
        <v>0</v>
      </c>
      <c r="E49" s="239">
        <v>10.717923000000001</v>
      </c>
      <c r="F49" s="239">
        <v>10.717923000000001</v>
      </c>
      <c r="G49" s="239">
        <v>0</v>
      </c>
      <c r="H49" s="239">
        <v>0</v>
      </c>
      <c r="I49" s="239">
        <v>0</v>
      </c>
      <c r="J49" s="239">
        <v>0</v>
      </c>
      <c r="K49" s="239">
        <v>0</v>
      </c>
      <c r="L49" s="239">
        <v>0</v>
      </c>
      <c r="M49" s="239">
        <v>0</v>
      </c>
      <c r="N49" s="239">
        <v>10.717923000000001</v>
      </c>
      <c r="O49" s="239">
        <v>10.717923000000001</v>
      </c>
      <c r="P49" s="239">
        <v>10.717923000000001</v>
      </c>
      <c r="Q49" s="239">
        <v>10.717923000000001</v>
      </c>
      <c r="R49" s="239">
        <v>10.717923000000001</v>
      </c>
      <c r="S49" s="239">
        <v>10.717923000000001</v>
      </c>
      <c r="T49" s="239">
        <v>10.717923000000001</v>
      </c>
      <c r="U49" s="239"/>
      <c r="V49" s="239">
        <v>0</v>
      </c>
      <c r="W49" s="239">
        <v>0</v>
      </c>
      <c r="AK49" s="188" t="s">
        <v>154</v>
      </c>
    </row>
    <row r="50" spans="1:37" x14ac:dyDescent="0.3">
      <c r="A50" t="s">
        <v>221</v>
      </c>
      <c r="B50" s="1" t="s">
        <v>182</v>
      </c>
      <c r="D50" s="238">
        <v>436.93978399999997</v>
      </c>
      <c r="E50" s="239">
        <v>436.93978399999997</v>
      </c>
      <c r="F50" s="239">
        <v>436.93978399999997</v>
      </c>
      <c r="G50" s="239">
        <v>436.93978399999997</v>
      </c>
      <c r="H50" s="239">
        <v>436.93978399999997</v>
      </c>
      <c r="I50" s="239">
        <v>436.93978399999997</v>
      </c>
      <c r="J50" s="239">
        <v>436.93978399999997</v>
      </c>
      <c r="K50" s="239">
        <v>436.93978399999997</v>
      </c>
      <c r="L50" s="239">
        <v>436.93978399999997</v>
      </c>
      <c r="M50" s="239">
        <v>436.93978399999997</v>
      </c>
      <c r="N50" s="239">
        <v>436.93978399999997</v>
      </c>
      <c r="O50" s="239">
        <v>436.93978399999997</v>
      </c>
      <c r="P50" s="239">
        <v>436.93978399999997</v>
      </c>
      <c r="Q50" s="239">
        <v>436.93978399999997</v>
      </c>
      <c r="R50" s="239">
        <v>436.93978399999997</v>
      </c>
      <c r="S50" s="239">
        <v>436.93978399999997</v>
      </c>
      <c r="T50" s="239">
        <v>436.93978399999997</v>
      </c>
      <c r="U50" s="239"/>
      <c r="V50" s="239">
        <v>436.93978399999997</v>
      </c>
      <c r="W50" s="239">
        <v>436.93978399999997</v>
      </c>
      <c r="AK50" s="188" t="s">
        <v>154</v>
      </c>
    </row>
    <row r="51" spans="1:37" x14ac:dyDescent="0.3">
      <c r="A51" t="s">
        <v>222</v>
      </c>
      <c r="B51" s="1" t="s">
        <v>182</v>
      </c>
      <c r="D51" s="238">
        <v>1393.1203194741331</v>
      </c>
      <c r="E51" s="239">
        <v>1393.1203194741331</v>
      </c>
      <c r="F51" s="239">
        <v>1393.1203194741331</v>
      </c>
      <c r="G51" s="239">
        <v>1393.1203194741331</v>
      </c>
      <c r="H51" s="239">
        <v>1393.1203194741331</v>
      </c>
      <c r="I51" s="239">
        <v>1393.1203194741331</v>
      </c>
      <c r="J51" s="239">
        <v>1393.1203194741331</v>
      </c>
      <c r="K51" s="239">
        <v>1393.1203194741331</v>
      </c>
      <c r="L51" s="239">
        <v>1393.1203194741331</v>
      </c>
      <c r="M51" s="239">
        <v>1393.1203194741331</v>
      </c>
      <c r="N51" s="239">
        <v>1393.1203194741331</v>
      </c>
      <c r="O51" s="239">
        <v>1393.1203194741331</v>
      </c>
      <c r="P51" s="239">
        <v>1393.1203194741331</v>
      </c>
      <c r="Q51" s="239">
        <v>1393.1203194741331</v>
      </c>
      <c r="R51" s="239">
        <v>1393.1203194741331</v>
      </c>
      <c r="S51" s="239">
        <v>1393.1203194741331</v>
      </c>
      <c r="T51" s="239">
        <v>1393.1203194741331</v>
      </c>
      <c r="U51" s="239"/>
      <c r="V51" s="239">
        <v>1393.1203194741331</v>
      </c>
      <c r="W51" s="239">
        <v>1393.1203194741331</v>
      </c>
      <c r="AK51" s="188" t="s">
        <v>154</v>
      </c>
    </row>
    <row r="52" spans="1:37" x14ac:dyDescent="0.3">
      <c r="A52" t="s">
        <v>223</v>
      </c>
      <c r="B52" s="1" t="s">
        <v>182</v>
      </c>
      <c r="D52" s="238">
        <v>258.13393600000001</v>
      </c>
      <c r="E52" s="239">
        <v>475.03166699999997</v>
      </c>
      <c r="F52" s="239">
        <v>370.66724999999997</v>
      </c>
      <c r="G52" s="239">
        <v>258.13393600000001</v>
      </c>
      <c r="H52" s="239">
        <v>258.13393600000001</v>
      </c>
      <c r="I52" s="239">
        <v>258.13393600000001</v>
      </c>
      <c r="J52" s="239">
        <v>258.13393600000001</v>
      </c>
      <c r="K52" s="239">
        <v>258.13393600000001</v>
      </c>
      <c r="L52" s="239">
        <v>258.13393600000001</v>
      </c>
      <c r="M52" s="239">
        <v>258.13393600000001</v>
      </c>
      <c r="N52" s="239">
        <v>370.66724999999997</v>
      </c>
      <c r="O52" s="239">
        <v>370.66724999999997</v>
      </c>
      <c r="P52" s="239">
        <v>370.66724999999997</v>
      </c>
      <c r="Q52" s="239">
        <v>370.66724999999997</v>
      </c>
      <c r="R52" s="239">
        <v>370.66724999999997</v>
      </c>
      <c r="S52" s="239">
        <v>370.66724999999997</v>
      </c>
      <c r="T52" s="239">
        <v>370.66724999999997</v>
      </c>
      <c r="U52" s="239"/>
      <c r="V52" s="239">
        <v>258.13393600000001</v>
      </c>
      <c r="W52" s="239">
        <v>258.13393600000001</v>
      </c>
      <c r="AK52" s="188" t="s">
        <v>154</v>
      </c>
    </row>
    <row r="53" spans="1:37" x14ac:dyDescent="0.3">
      <c r="A53" t="s">
        <v>224</v>
      </c>
      <c r="B53" s="1" t="s">
        <v>182</v>
      </c>
      <c r="D53" s="238">
        <v>79</v>
      </c>
      <c r="E53" s="239">
        <v>79</v>
      </c>
      <c r="F53" s="239">
        <v>79</v>
      </c>
      <c r="G53" s="239">
        <v>79</v>
      </c>
      <c r="H53" s="239">
        <v>79</v>
      </c>
      <c r="I53" s="239">
        <v>79</v>
      </c>
      <c r="J53" s="239">
        <v>79</v>
      </c>
      <c r="K53" s="239">
        <v>79</v>
      </c>
      <c r="L53" s="239">
        <v>79</v>
      </c>
      <c r="M53" s="239">
        <v>79</v>
      </c>
      <c r="N53" s="239">
        <v>79</v>
      </c>
      <c r="O53" s="239">
        <v>79</v>
      </c>
      <c r="P53" s="239">
        <v>79</v>
      </c>
      <c r="Q53" s="239">
        <v>79</v>
      </c>
      <c r="R53" s="239">
        <v>79</v>
      </c>
      <c r="S53" s="239">
        <v>79</v>
      </c>
      <c r="T53" s="239">
        <v>79</v>
      </c>
      <c r="U53" s="239"/>
      <c r="V53" s="239">
        <v>79</v>
      </c>
      <c r="W53" s="239">
        <v>79</v>
      </c>
      <c r="AK53" s="188" t="s">
        <v>154</v>
      </c>
    </row>
    <row r="54" spans="1:37" x14ac:dyDescent="0.3">
      <c r="A54" t="s">
        <v>225</v>
      </c>
      <c r="B54" s="1" t="s">
        <v>182</v>
      </c>
      <c r="D54" s="238">
        <v>25.60000038146973</v>
      </c>
      <c r="E54" s="239">
        <v>25.60000038146973</v>
      </c>
      <c r="F54" s="239">
        <v>25.60000038146973</v>
      </c>
      <c r="G54" s="239">
        <v>25.60000038146973</v>
      </c>
      <c r="H54" s="239">
        <v>25.60000038146973</v>
      </c>
      <c r="I54" s="239">
        <v>25.60000038146973</v>
      </c>
      <c r="J54" s="239">
        <v>25.60000038146973</v>
      </c>
      <c r="K54" s="239">
        <v>25.60000038146973</v>
      </c>
      <c r="L54" s="239">
        <v>25.60000038146973</v>
      </c>
      <c r="M54" s="239">
        <v>25.60000038146973</v>
      </c>
      <c r="N54" s="239">
        <v>25.60000038146973</v>
      </c>
      <c r="O54" s="239">
        <v>25.60000038146973</v>
      </c>
      <c r="P54" s="239">
        <v>25.60000038146973</v>
      </c>
      <c r="Q54" s="239">
        <v>25.60000038146973</v>
      </c>
      <c r="R54" s="239">
        <v>25.60000038146973</v>
      </c>
      <c r="S54" s="239">
        <v>25.60000038146973</v>
      </c>
      <c r="T54" s="239">
        <v>25.60000038146973</v>
      </c>
      <c r="U54" s="239"/>
      <c r="V54" s="239">
        <v>25.60000038146973</v>
      </c>
      <c r="W54" s="239">
        <v>25.60000038146973</v>
      </c>
      <c r="AK54" s="188" t="s">
        <v>154</v>
      </c>
    </row>
    <row r="55" spans="1:37" x14ac:dyDescent="0.3">
      <c r="A55" t="s">
        <v>226</v>
      </c>
      <c r="B55" t="s">
        <v>227</v>
      </c>
      <c r="D55" s="233">
        <v>1</v>
      </c>
      <c r="E55" s="234">
        <v>1</v>
      </c>
      <c r="F55" s="234">
        <v>1</v>
      </c>
      <c r="G55" s="234">
        <v>1</v>
      </c>
      <c r="H55" s="234">
        <v>1</v>
      </c>
      <c r="I55" s="234">
        <v>1</v>
      </c>
      <c r="J55" s="234">
        <v>1</v>
      </c>
      <c r="K55" s="234">
        <v>1</v>
      </c>
      <c r="L55" s="234">
        <v>1</v>
      </c>
      <c r="M55" s="234">
        <v>1</v>
      </c>
      <c r="N55" s="234">
        <v>1</v>
      </c>
      <c r="O55" s="234">
        <v>1</v>
      </c>
      <c r="P55" s="234">
        <v>1</v>
      </c>
      <c r="Q55" s="234">
        <v>1</v>
      </c>
      <c r="R55" s="234">
        <v>1</v>
      </c>
      <c r="S55" s="234">
        <v>1</v>
      </c>
      <c r="T55" s="234">
        <v>1</v>
      </c>
      <c r="U55" s="234"/>
      <c r="V55" s="234">
        <v>1</v>
      </c>
      <c r="W55" s="234">
        <v>1</v>
      </c>
    </row>
    <row r="56" spans="1:37" x14ac:dyDescent="0.3">
      <c r="A56" t="s">
        <v>228</v>
      </c>
      <c r="B56" t="s">
        <v>229</v>
      </c>
      <c r="D56" s="233">
        <v>1</v>
      </c>
      <c r="E56" s="234">
        <v>1</v>
      </c>
      <c r="F56" s="234">
        <v>1</v>
      </c>
      <c r="G56" s="234">
        <v>1</v>
      </c>
      <c r="H56" s="234">
        <v>1</v>
      </c>
      <c r="I56" s="234">
        <v>1</v>
      </c>
      <c r="J56" s="234">
        <v>1</v>
      </c>
      <c r="K56" s="234">
        <v>1</v>
      </c>
      <c r="L56" s="234">
        <v>1</v>
      </c>
      <c r="M56" s="234">
        <v>1</v>
      </c>
      <c r="N56" s="234">
        <v>1</v>
      </c>
      <c r="O56" s="234">
        <v>1</v>
      </c>
      <c r="P56" s="234">
        <v>1</v>
      </c>
      <c r="Q56" s="234">
        <v>1</v>
      </c>
      <c r="R56" s="234">
        <v>1</v>
      </c>
      <c r="S56" s="234">
        <v>1</v>
      </c>
      <c r="T56" s="234">
        <v>1</v>
      </c>
      <c r="U56" s="234"/>
      <c r="V56" s="234">
        <v>1</v>
      </c>
      <c r="W56" s="234">
        <v>1</v>
      </c>
    </row>
    <row r="57" spans="1:37" x14ac:dyDescent="0.3">
      <c r="A57" t="s">
        <v>230</v>
      </c>
      <c r="B57" t="s">
        <v>231</v>
      </c>
      <c r="D57" s="233">
        <v>0</v>
      </c>
      <c r="E57" s="234">
        <v>0</v>
      </c>
      <c r="F57" s="234">
        <v>0</v>
      </c>
      <c r="G57" s="234">
        <v>0</v>
      </c>
      <c r="H57" s="234">
        <v>0</v>
      </c>
      <c r="I57" s="234">
        <v>0</v>
      </c>
      <c r="J57" s="234">
        <v>0</v>
      </c>
      <c r="K57" s="234">
        <v>0</v>
      </c>
      <c r="L57" s="234">
        <v>0</v>
      </c>
      <c r="M57" s="234">
        <v>0</v>
      </c>
      <c r="N57" s="234">
        <v>0</v>
      </c>
      <c r="O57" s="234">
        <v>0</v>
      </c>
      <c r="P57" s="234">
        <v>0</v>
      </c>
      <c r="Q57" s="234">
        <v>0</v>
      </c>
      <c r="R57" s="234">
        <v>1</v>
      </c>
      <c r="S57" s="234">
        <v>0</v>
      </c>
      <c r="T57" s="234">
        <v>1</v>
      </c>
      <c r="U57" s="234"/>
      <c r="V57" s="234">
        <v>0</v>
      </c>
      <c r="W57" s="234">
        <v>0</v>
      </c>
    </row>
    <row r="58" spans="1:37" x14ac:dyDescent="0.3">
      <c r="A58" t="s">
        <v>232</v>
      </c>
      <c r="B58" t="s">
        <v>233</v>
      </c>
      <c r="D58" s="233">
        <v>0</v>
      </c>
      <c r="E58" s="234">
        <v>0</v>
      </c>
      <c r="F58" s="234">
        <v>1</v>
      </c>
      <c r="G58" s="234">
        <v>0</v>
      </c>
      <c r="H58" s="234">
        <v>0</v>
      </c>
      <c r="I58" s="234">
        <v>0</v>
      </c>
      <c r="J58" s="234">
        <v>0</v>
      </c>
      <c r="K58" s="234">
        <v>0</v>
      </c>
      <c r="L58" s="234">
        <v>0</v>
      </c>
      <c r="M58" s="234">
        <v>0</v>
      </c>
      <c r="N58" s="234">
        <v>1</v>
      </c>
      <c r="O58" s="234">
        <v>0</v>
      </c>
      <c r="P58" s="234">
        <v>1</v>
      </c>
      <c r="Q58" s="234">
        <v>0</v>
      </c>
      <c r="R58" s="234">
        <v>1</v>
      </c>
      <c r="S58" s="234">
        <v>0</v>
      </c>
      <c r="T58" s="234">
        <v>1</v>
      </c>
      <c r="U58" s="234"/>
      <c r="V58" s="234">
        <v>0</v>
      </c>
      <c r="W58" s="234">
        <v>0</v>
      </c>
    </row>
    <row r="59" spans="1:37" x14ac:dyDescent="0.3">
      <c r="A59" t="s">
        <v>234</v>
      </c>
      <c r="B59" t="s">
        <v>235</v>
      </c>
      <c r="D59" s="233">
        <v>1</v>
      </c>
      <c r="E59" s="234">
        <v>1</v>
      </c>
      <c r="F59" s="234">
        <v>1</v>
      </c>
      <c r="G59" s="234">
        <v>1</v>
      </c>
      <c r="H59" s="234">
        <v>1</v>
      </c>
      <c r="I59" s="234">
        <v>1</v>
      </c>
      <c r="J59" s="234">
        <v>1</v>
      </c>
      <c r="K59" s="234">
        <v>1</v>
      </c>
      <c r="L59" s="234">
        <v>1</v>
      </c>
      <c r="M59" s="234">
        <v>1</v>
      </c>
      <c r="N59" s="234">
        <v>1</v>
      </c>
      <c r="O59" s="234">
        <v>1</v>
      </c>
      <c r="P59" s="234">
        <v>1</v>
      </c>
      <c r="Q59" s="234">
        <v>1</v>
      </c>
      <c r="R59" s="234">
        <v>1</v>
      </c>
      <c r="S59" s="234">
        <v>1</v>
      </c>
      <c r="T59" s="234">
        <v>1</v>
      </c>
      <c r="U59" s="234"/>
      <c r="V59" s="234">
        <v>1</v>
      </c>
      <c r="W59" s="234">
        <v>1</v>
      </c>
    </row>
    <row r="60" spans="1:37" x14ac:dyDescent="0.3">
      <c r="A60" t="s">
        <v>236</v>
      </c>
      <c r="B60" t="s">
        <v>237</v>
      </c>
      <c r="D60" s="233">
        <v>1</v>
      </c>
      <c r="E60" s="234">
        <v>0</v>
      </c>
      <c r="F60" s="234">
        <v>0</v>
      </c>
      <c r="G60" s="234">
        <v>1</v>
      </c>
      <c r="H60" s="234">
        <v>0</v>
      </c>
      <c r="I60" s="234">
        <v>0</v>
      </c>
      <c r="J60" s="234">
        <v>0</v>
      </c>
      <c r="K60" s="234">
        <v>1</v>
      </c>
      <c r="L60" s="234">
        <v>0</v>
      </c>
      <c r="M60" s="234">
        <v>0</v>
      </c>
      <c r="N60" s="234">
        <v>0</v>
      </c>
      <c r="O60" s="234">
        <v>1</v>
      </c>
      <c r="P60" s="234">
        <v>1</v>
      </c>
      <c r="Q60" s="234">
        <v>0</v>
      </c>
      <c r="R60" s="234">
        <v>1</v>
      </c>
      <c r="S60" s="234">
        <v>0</v>
      </c>
      <c r="T60" s="234">
        <v>1</v>
      </c>
      <c r="U60" s="234"/>
      <c r="V60" s="234">
        <v>1</v>
      </c>
      <c r="W60" s="234">
        <v>0</v>
      </c>
    </row>
    <row r="61" spans="1:37" x14ac:dyDescent="0.3">
      <c r="A61" t="s">
        <v>238</v>
      </c>
      <c r="B61" t="s">
        <v>239</v>
      </c>
      <c r="D61" s="233">
        <v>1</v>
      </c>
      <c r="E61" s="234">
        <v>1</v>
      </c>
      <c r="F61" s="234">
        <v>1</v>
      </c>
      <c r="G61" s="234">
        <v>1</v>
      </c>
      <c r="H61" s="234">
        <v>1</v>
      </c>
      <c r="I61" s="234">
        <v>1</v>
      </c>
      <c r="J61" s="234">
        <v>1</v>
      </c>
      <c r="K61" s="234">
        <v>1</v>
      </c>
      <c r="L61" s="234">
        <v>1</v>
      </c>
      <c r="M61" s="234">
        <v>1</v>
      </c>
      <c r="N61" s="234">
        <v>1</v>
      </c>
      <c r="O61" s="234">
        <v>1</v>
      </c>
      <c r="P61" s="234">
        <v>1</v>
      </c>
      <c r="Q61" s="234">
        <v>1</v>
      </c>
      <c r="R61" s="234">
        <v>1</v>
      </c>
      <c r="S61" s="234">
        <v>1</v>
      </c>
      <c r="T61" s="234">
        <v>1</v>
      </c>
      <c r="U61" s="234"/>
      <c r="V61" s="234">
        <v>1</v>
      </c>
      <c r="W61" s="234">
        <v>1</v>
      </c>
    </row>
    <row r="62" spans="1:37" x14ac:dyDescent="0.3">
      <c r="A62" t="s">
        <v>240</v>
      </c>
      <c r="B62" t="s">
        <v>241</v>
      </c>
      <c r="D62" s="233">
        <v>1</v>
      </c>
      <c r="E62" s="234">
        <v>1</v>
      </c>
      <c r="F62" s="234">
        <v>1</v>
      </c>
      <c r="G62" s="234">
        <v>1</v>
      </c>
      <c r="H62" s="234">
        <v>1</v>
      </c>
      <c r="I62" s="234">
        <v>1</v>
      </c>
      <c r="J62" s="234">
        <v>1</v>
      </c>
      <c r="K62" s="234">
        <v>1</v>
      </c>
      <c r="L62" s="234">
        <v>1</v>
      </c>
      <c r="M62" s="234">
        <v>1</v>
      </c>
      <c r="N62" s="234">
        <v>1</v>
      </c>
      <c r="O62" s="234">
        <v>1</v>
      </c>
      <c r="P62" s="234">
        <v>1</v>
      </c>
      <c r="Q62" s="234">
        <v>1</v>
      </c>
      <c r="R62" s="234">
        <v>1</v>
      </c>
      <c r="S62" s="234">
        <v>1</v>
      </c>
      <c r="T62" s="234">
        <v>1</v>
      </c>
      <c r="U62" s="234"/>
      <c r="V62" s="234">
        <v>1</v>
      </c>
      <c r="W62" s="234">
        <v>1</v>
      </c>
    </row>
    <row r="63" spans="1:37" x14ac:dyDescent="0.3">
      <c r="A63" t="s">
        <v>242</v>
      </c>
      <c r="B63" t="s">
        <v>243</v>
      </c>
      <c r="D63" s="233">
        <v>1</v>
      </c>
      <c r="E63" s="234">
        <v>0</v>
      </c>
      <c r="F63" s="234">
        <v>0</v>
      </c>
      <c r="G63" s="234">
        <v>0</v>
      </c>
      <c r="H63" s="234">
        <v>0</v>
      </c>
      <c r="I63" s="234">
        <v>0</v>
      </c>
      <c r="J63" s="234">
        <v>0</v>
      </c>
      <c r="K63" s="234">
        <v>0</v>
      </c>
      <c r="L63" s="234">
        <v>0</v>
      </c>
      <c r="M63" s="234">
        <v>0</v>
      </c>
      <c r="N63" s="234">
        <v>0</v>
      </c>
      <c r="O63" s="234">
        <v>0</v>
      </c>
      <c r="P63" s="234">
        <v>0</v>
      </c>
      <c r="Q63" s="234">
        <v>0</v>
      </c>
      <c r="R63" s="234">
        <v>1</v>
      </c>
      <c r="S63" s="234">
        <v>0</v>
      </c>
      <c r="T63" s="234">
        <v>1</v>
      </c>
      <c r="U63" s="234"/>
      <c r="V63" s="234">
        <v>0</v>
      </c>
      <c r="W63" s="234">
        <v>0</v>
      </c>
    </row>
    <row r="64" spans="1:37" x14ac:dyDescent="0.3">
      <c r="A64" t="s">
        <v>244</v>
      </c>
      <c r="B64" t="s">
        <v>245</v>
      </c>
      <c r="D64" s="233">
        <v>1</v>
      </c>
      <c r="E64" s="234">
        <v>1</v>
      </c>
      <c r="F64" s="234">
        <v>1</v>
      </c>
      <c r="G64" s="234">
        <v>1</v>
      </c>
      <c r="H64" s="234">
        <v>1</v>
      </c>
      <c r="I64" s="234">
        <v>1</v>
      </c>
      <c r="J64" s="234">
        <v>1</v>
      </c>
      <c r="K64" s="234">
        <v>1</v>
      </c>
      <c r="L64" s="234">
        <v>1</v>
      </c>
      <c r="M64" s="234">
        <v>1</v>
      </c>
      <c r="N64" s="234">
        <v>1</v>
      </c>
      <c r="O64" s="234">
        <v>1</v>
      </c>
      <c r="P64" s="234">
        <v>1</v>
      </c>
      <c r="Q64" s="234">
        <v>1</v>
      </c>
      <c r="R64" s="234">
        <v>1</v>
      </c>
      <c r="S64" s="234">
        <v>1</v>
      </c>
      <c r="T64" s="234">
        <v>1</v>
      </c>
      <c r="U64" s="234"/>
      <c r="V64" s="234">
        <v>1</v>
      </c>
      <c r="W64" s="234">
        <v>1</v>
      </c>
    </row>
    <row r="65" spans="1:23" x14ac:dyDescent="0.3">
      <c r="A65" t="s">
        <v>246</v>
      </c>
      <c r="B65" t="s">
        <v>247</v>
      </c>
      <c r="D65" s="233">
        <v>1</v>
      </c>
      <c r="E65" s="234">
        <v>1</v>
      </c>
      <c r="F65" s="234">
        <v>1</v>
      </c>
      <c r="G65" s="234">
        <v>1</v>
      </c>
      <c r="H65" s="234">
        <v>1</v>
      </c>
      <c r="I65" s="234">
        <v>1</v>
      </c>
      <c r="J65" s="234">
        <v>1</v>
      </c>
      <c r="K65" s="234">
        <v>1</v>
      </c>
      <c r="L65" s="234">
        <v>1</v>
      </c>
      <c r="M65" s="234">
        <v>1</v>
      </c>
      <c r="N65" s="234">
        <v>1</v>
      </c>
      <c r="O65" s="234">
        <v>1</v>
      </c>
      <c r="P65" s="234">
        <v>1</v>
      </c>
      <c r="Q65" s="234">
        <v>1</v>
      </c>
      <c r="R65" s="234">
        <v>1</v>
      </c>
      <c r="S65" s="234">
        <v>1</v>
      </c>
      <c r="T65" s="234">
        <v>1</v>
      </c>
      <c r="U65" s="234"/>
      <c r="V65" s="234">
        <v>1</v>
      </c>
      <c r="W65" s="234">
        <v>1</v>
      </c>
    </row>
    <row r="66" spans="1:23" x14ac:dyDescent="0.3">
      <c r="A66" t="s">
        <v>248</v>
      </c>
      <c r="B66" t="s">
        <v>249</v>
      </c>
      <c r="D66" s="233">
        <v>1</v>
      </c>
      <c r="E66" s="234">
        <v>1</v>
      </c>
      <c r="F66" s="234">
        <v>1</v>
      </c>
      <c r="G66" s="234">
        <v>1</v>
      </c>
      <c r="H66" s="234">
        <v>1</v>
      </c>
      <c r="I66" s="234">
        <v>1</v>
      </c>
      <c r="J66" s="234">
        <v>1</v>
      </c>
      <c r="K66" s="234">
        <v>1</v>
      </c>
      <c r="L66" s="234">
        <v>1</v>
      </c>
      <c r="M66" s="234">
        <v>1</v>
      </c>
      <c r="N66" s="234">
        <v>1</v>
      </c>
      <c r="O66" s="234">
        <v>1</v>
      </c>
      <c r="P66" s="234">
        <v>1</v>
      </c>
      <c r="Q66" s="234">
        <v>1</v>
      </c>
      <c r="R66" s="234">
        <v>1</v>
      </c>
      <c r="S66" s="234">
        <v>1</v>
      </c>
      <c r="T66" s="234">
        <v>1</v>
      </c>
      <c r="U66" s="234"/>
      <c r="V66" s="234">
        <v>1</v>
      </c>
      <c r="W66" s="234">
        <v>1</v>
      </c>
    </row>
    <row r="67" spans="1:23" x14ac:dyDescent="0.3">
      <c r="A67" t="s">
        <v>250</v>
      </c>
      <c r="B67" t="s">
        <v>251</v>
      </c>
      <c r="D67" s="233">
        <v>1</v>
      </c>
      <c r="E67" s="234">
        <v>1</v>
      </c>
      <c r="F67" s="234">
        <v>1</v>
      </c>
      <c r="G67" s="234">
        <v>1</v>
      </c>
      <c r="H67" s="234">
        <v>1</v>
      </c>
      <c r="I67" s="234">
        <v>1</v>
      </c>
      <c r="J67" s="234">
        <v>1</v>
      </c>
      <c r="K67" s="234">
        <v>1</v>
      </c>
      <c r="L67" s="234">
        <v>1</v>
      </c>
      <c r="M67" s="234">
        <v>1</v>
      </c>
      <c r="N67" s="234">
        <v>1</v>
      </c>
      <c r="O67" s="234">
        <v>1</v>
      </c>
      <c r="P67" s="234">
        <v>1</v>
      </c>
      <c r="Q67" s="234">
        <v>1</v>
      </c>
      <c r="R67" s="234">
        <v>1</v>
      </c>
      <c r="S67" s="234">
        <v>1</v>
      </c>
      <c r="T67" s="234">
        <v>1</v>
      </c>
      <c r="U67" s="234"/>
      <c r="V67" s="234">
        <v>1</v>
      </c>
      <c r="W67" s="234">
        <v>1</v>
      </c>
    </row>
    <row r="68" spans="1:23" x14ac:dyDescent="0.3">
      <c r="A68" t="s">
        <v>252</v>
      </c>
      <c r="B68" t="s">
        <v>253</v>
      </c>
      <c r="D68" s="233">
        <v>1</v>
      </c>
      <c r="E68" s="234">
        <v>1</v>
      </c>
      <c r="F68" s="234">
        <v>1</v>
      </c>
      <c r="G68" s="234">
        <v>1</v>
      </c>
      <c r="H68" s="234">
        <v>1</v>
      </c>
      <c r="I68" s="234">
        <v>1</v>
      </c>
      <c r="J68" s="234">
        <v>1</v>
      </c>
      <c r="K68" s="234">
        <v>1</v>
      </c>
      <c r="L68" s="234">
        <v>1</v>
      </c>
      <c r="M68" s="234">
        <v>1</v>
      </c>
      <c r="N68" s="234">
        <v>1</v>
      </c>
      <c r="O68" s="234">
        <v>1</v>
      </c>
      <c r="P68" s="234">
        <v>1</v>
      </c>
      <c r="Q68" s="234">
        <v>1</v>
      </c>
      <c r="R68" s="234">
        <v>1</v>
      </c>
      <c r="S68" s="234">
        <v>1</v>
      </c>
      <c r="T68" s="234">
        <v>1</v>
      </c>
      <c r="U68" s="234"/>
      <c r="V68" s="234">
        <v>1</v>
      </c>
      <c r="W68" s="234">
        <v>1</v>
      </c>
    </row>
    <row r="69" spans="1:23" x14ac:dyDescent="0.3">
      <c r="A69" t="s">
        <v>254</v>
      </c>
      <c r="B69" t="s">
        <v>255</v>
      </c>
      <c r="D69" s="233">
        <v>1</v>
      </c>
      <c r="E69" s="234">
        <v>1</v>
      </c>
      <c r="F69" s="234">
        <v>1</v>
      </c>
      <c r="G69" s="234">
        <v>1</v>
      </c>
      <c r="H69" s="234">
        <v>1</v>
      </c>
      <c r="I69" s="234">
        <v>1</v>
      </c>
      <c r="J69" s="234">
        <v>1</v>
      </c>
      <c r="K69" s="234">
        <v>1</v>
      </c>
      <c r="L69" s="234">
        <v>1</v>
      </c>
      <c r="M69" s="234">
        <v>1</v>
      </c>
      <c r="N69" s="234">
        <v>1</v>
      </c>
      <c r="O69" s="234">
        <v>1</v>
      </c>
      <c r="P69" s="234">
        <v>1</v>
      </c>
      <c r="Q69" s="234">
        <v>1</v>
      </c>
      <c r="R69" s="234">
        <v>1</v>
      </c>
      <c r="S69" s="234">
        <v>1</v>
      </c>
      <c r="T69" s="234">
        <v>1</v>
      </c>
      <c r="U69" s="234"/>
      <c r="V69" s="234">
        <v>1</v>
      </c>
      <c r="W69" s="234">
        <v>1</v>
      </c>
    </row>
    <row r="70" spans="1:23" x14ac:dyDescent="0.3">
      <c r="A70" t="s">
        <v>256</v>
      </c>
      <c r="B70" t="s">
        <v>257</v>
      </c>
      <c r="D70" s="233">
        <v>1</v>
      </c>
      <c r="E70" s="234">
        <v>1</v>
      </c>
      <c r="F70" s="234">
        <v>1</v>
      </c>
      <c r="G70" s="234">
        <v>1</v>
      </c>
      <c r="H70" s="234">
        <v>1</v>
      </c>
      <c r="I70" s="234">
        <v>1</v>
      </c>
      <c r="J70" s="234">
        <v>1</v>
      </c>
      <c r="K70" s="234">
        <v>1</v>
      </c>
      <c r="L70" s="234">
        <v>1</v>
      </c>
      <c r="M70" s="234">
        <v>1</v>
      </c>
      <c r="N70" s="234">
        <v>1</v>
      </c>
      <c r="O70" s="234">
        <v>1</v>
      </c>
      <c r="P70" s="234">
        <v>1</v>
      </c>
      <c r="Q70" s="234">
        <v>1</v>
      </c>
      <c r="R70" s="234">
        <v>1</v>
      </c>
      <c r="S70" s="234">
        <v>1</v>
      </c>
      <c r="T70" s="234">
        <v>1</v>
      </c>
      <c r="U70" s="234"/>
      <c r="V70" s="234">
        <v>1</v>
      </c>
      <c r="W70" s="234">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R18"/>
  <sheetViews>
    <sheetView workbookViewId="0">
      <selection activeCell="H25" sqref="H25"/>
    </sheetView>
  </sheetViews>
  <sheetFormatPr defaultColWidth="8.88671875" defaultRowHeight="14.4" x14ac:dyDescent="0.3"/>
  <cols>
    <col min="2" max="2" width="25.33203125" customWidth="1"/>
    <col min="6" max="6" width="1.33203125" customWidth="1"/>
    <col min="8" max="8" width="25.33203125" customWidth="1"/>
    <col min="10" max="10" width="11.5546875" bestFit="1" customWidth="1"/>
    <col min="12" max="12" width="0.88671875" customWidth="1"/>
    <col min="13" max="13" width="1" customWidth="1"/>
    <col min="15" max="15" width="25.33203125" customWidth="1"/>
    <col min="17" max="17" width="11.5546875" bestFit="1" customWidth="1"/>
  </cols>
  <sheetData>
    <row r="4" spans="1:18" x14ac:dyDescent="0.3">
      <c r="A4" s="4" t="s">
        <v>155</v>
      </c>
      <c r="B4" s="4"/>
      <c r="C4" s="4"/>
      <c r="D4" s="4"/>
      <c r="E4" s="4"/>
      <c r="F4" s="4"/>
      <c r="G4" s="4" t="s">
        <v>156</v>
      </c>
      <c r="H4" s="4"/>
      <c r="I4" s="4"/>
      <c r="J4" s="4"/>
      <c r="K4" s="4"/>
      <c r="L4" s="4"/>
      <c r="M4" s="4"/>
      <c r="N4" s="4" t="s">
        <v>157</v>
      </c>
      <c r="O4" s="4"/>
      <c r="P4" s="4"/>
      <c r="Q4" s="4"/>
      <c r="R4" s="4"/>
    </row>
    <row r="5" spans="1:18" x14ac:dyDescent="0.3">
      <c r="A5" s="152" t="s">
        <v>158</v>
      </c>
      <c r="B5" s="152" t="s">
        <v>14</v>
      </c>
      <c r="C5" s="152" t="s">
        <v>159</v>
      </c>
      <c r="D5" s="152" t="s">
        <v>160</v>
      </c>
      <c r="E5" s="152" t="s">
        <v>161</v>
      </c>
      <c r="F5" s="152"/>
      <c r="G5" s="152" t="s">
        <v>158</v>
      </c>
      <c r="H5" s="152" t="s">
        <v>14</v>
      </c>
      <c r="I5" s="152" t="s">
        <v>159</v>
      </c>
      <c r="J5" s="152" t="s">
        <v>160</v>
      </c>
      <c r="K5" s="152" t="s">
        <v>161</v>
      </c>
      <c r="L5" s="152"/>
      <c r="M5" s="152"/>
      <c r="N5" s="152" t="s">
        <v>158</v>
      </c>
      <c r="O5" s="152" t="s">
        <v>14</v>
      </c>
      <c r="P5" s="152" t="s">
        <v>159</v>
      </c>
      <c r="Q5" s="152" t="s">
        <v>160</v>
      </c>
      <c r="R5" s="152" t="s">
        <v>161</v>
      </c>
    </row>
    <row r="6" spans="1:18" x14ac:dyDescent="0.3">
      <c r="A6" s="225">
        <v>1</v>
      </c>
      <c r="B6" s="225" t="str">
        <f>INDEX(Calculator!$B$6:$AL$28,MATCH($A6,Calculator!$A$6:$A$28,0),COLUMN($B$1)-1)</f>
        <v>Reference</v>
      </c>
      <c r="C6" s="245">
        <f>INDEX(Calculator!$B$6:$AL$28,MATCH($A6,Calculator!$A$6:$A$28,0),COLUMN($C$1)-1)</f>
        <v>0</v>
      </c>
      <c r="D6" s="245">
        <f>INDEX(Calculator!$B$6:$AL$28,MATCH($A6,Calculator!$A$6:$A$28,0),COLUMN($AG$1)-1)</f>
        <v>20.84664822817858</v>
      </c>
      <c r="E6" s="245">
        <f>INDEX(Calculator!$B$6:$AL$28,MATCH($A6,Calculator!$A$6:$A$28,0),COLUMN($E$1)-1)</f>
        <v>1</v>
      </c>
      <c r="G6" s="225">
        <v>2</v>
      </c>
      <c r="H6" s="225" t="str">
        <f>INDEX(Calculator!$B$6:$AL$28,MATCH($G6,Calculator!$A$6:$A$28,0),COLUMN($B$1)-1)</f>
        <v>DSM Bundle 10</v>
      </c>
      <c r="I6" s="245">
        <f>INDEX(Calculator!$B$6:$AL$28,MATCH($G6,Calculator!$A$6:$A$28,0),COLUMN($C$1)-1)</f>
        <v>0.14407104590263572</v>
      </c>
      <c r="J6" s="245">
        <f>INDEX(Calculator!$B$6:$AL$28,MATCH($G6,Calculator!$A$6:$A$28,0),COLUMN($AG$1)-1)</f>
        <v>21.653798997941848</v>
      </c>
      <c r="K6" s="245">
        <f>INDEX(Calculator!$B$6:$AL$28,MATCH($G6,Calculator!$A$6:$A$28,0),COLUMN($E$1)-1)</f>
        <v>1.6653384282191288</v>
      </c>
      <c r="N6" s="225" t="s">
        <v>79</v>
      </c>
      <c r="O6" s="225" t="str">
        <f>INDEX(Calculator!$B$6:$AL$28,MATCH($N6,Calculator!$A$6:$A$28,0),COLUMN($B$1)-1)</f>
        <v>Least Diversified w/ Nuclear</v>
      </c>
      <c r="P6" s="245">
        <f>INDEX(Calculator!$B$6:$AL$28,MATCH($N6,Calculator!$A$6:$A$28,0),COLUMN($C$1)-1)</f>
        <v>0.37609267825589621</v>
      </c>
      <c r="Q6" s="245">
        <f>INDEX(Calculator!$B$6:$AL$28,MATCH($N6,Calculator!$A$6:$A$28,0),COLUMN($AG$1)-1)</f>
        <v>22.833307055282855</v>
      </c>
      <c r="R6" s="245">
        <f>INDEX(Calculator!$B$6:$AL$28,MATCH($N6,Calculator!$A$6:$A$28,0),COLUMN($E$1)-1)</f>
        <v>2.6471231142528744</v>
      </c>
    </row>
    <row r="7" spans="1:18" x14ac:dyDescent="0.3">
      <c r="A7" s="225"/>
      <c r="B7" s="225"/>
      <c r="C7" s="245"/>
      <c r="D7" s="245"/>
      <c r="E7" s="245"/>
      <c r="G7" s="225">
        <v>3</v>
      </c>
      <c r="H7" s="225" t="str">
        <f>INDEX(Calculator!$B$6:$AL$28,MATCH($G7,Calculator!$A$6:$A$28,0),COLUMN($B$1)-1)</f>
        <v>DSM Bundle 7</v>
      </c>
      <c r="I7" s="245">
        <f>INDEX(Calculator!$B$6:$AL$28,MATCH($G7,Calculator!$A$6:$A$28,0),COLUMN($C$1)-1)</f>
        <v>0.43795074930463179</v>
      </c>
      <c r="J7" s="245">
        <f>INDEX(Calculator!$B$6:$AL$28,MATCH($G7,Calculator!$A$6:$A$28,0),COLUMN($AG$1)-1)</f>
        <v>20.859553919278238</v>
      </c>
      <c r="K7" s="245">
        <f>INDEX(Calculator!$B$6:$AL$28,MATCH($G7,Calculator!$A$6:$A$28,0),COLUMN($E$1)-1)</f>
        <v>3.0995211642559677</v>
      </c>
      <c r="N7" s="225" t="s">
        <v>82</v>
      </c>
      <c r="O7" s="225" t="str">
        <f>INDEX(Calculator!$B$6:$AL$28,MATCH($N7,Calculator!$A$6:$A$28,0),COLUMN($B$1)-1)</f>
        <v>Diversified + PNW PHES</v>
      </c>
      <c r="P7" s="245">
        <f>INDEX(Calculator!$B$6:$AL$28,MATCH($N7,Calculator!$A$6:$A$28,0),COLUMN($C$1)-1)</f>
        <v>-5.4470935544611257E-2</v>
      </c>
      <c r="Q7" s="245">
        <f>INDEX(Calculator!$B$6:$AL$28,MATCH($N7,Calculator!$A$6:$A$28,0),COLUMN($AG$1)-1)</f>
        <v>23.246543958925759</v>
      </c>
      <c r="R7" s="245">
        <f>INDEX(Calculator!$B$6:$AL$28,MATCH($N7,Calculator!$A$6:$A$28,0),COLUMN($E$1)-1)</f>
        <v>0.76568157554578531</v>
      </c>
    </row>
    <row r="8" spans="1:18" x14ac:dyDescent="0.3">
      <c r="A8" s="225"/>
      <c r="B8" s="225"/>
      <c r="C8" s="245"/>
      <c r="D8" s="245"/>
      <c r="E8" s="245"/>
      <c r="G8" s="225">
        <v>4</v>
      </c>
      <c r="H8" s="225" t="str">
        <f>INDEX(Calculator!$B$6:$AL$28,MATCH($G8,Calculator!$A$6:$A$28,0),COLUMN($B$1)-1)</f>
        <v>DER Solar</v>
      </c>
      <c r="I8" s="245">
        <f>INDEX(Calculator!$B$6:$AL$28,MATCH($G8,Calculator!$A$6:$A$28,0),COLUMN($C$1)-1)</f>
        <v>4.3621905399316138E-2</v>
      </c>
      <c r="J8" s="245">
        <f>INDEX(Calculator!$B$6:$AL$28,MATCH($G8,Calculator!$A$6:$A$28,0),COLUMN($AG$1)-1)</f>
        <v>21.077209171618279</v>
      </c>
      <c r="K8" s="245">
        <f>INDEX(Calculator!$B$6:$AL$28,MATCH($G8,Calculator!$A$6:$A$28,0),COLUMN($E$1)-1)</f>
        <v>1.2069624353211603</v>
      </c>
      <c r="N8" s="225" t="s">
        <v>85</v>
      </c>
      <c r="O8" s="225" t="str">
        <f>INDEX(Calculator!$B$6:$AL$28,MATCH($N8,Calculator!$A$6:$A$28,0),COLUMN($B$1)-1)</f>
        <v>Diversified + DER Solar</v>
      </c>
      <c r="P8" s="245">
        <f>INDEX(Calculator!$B$6:$AL$28,MATCH($N8,Calculator!$A$6:$A$28,0),COLUMN($C$1)-1)</f>
        <v>0.69112059307509088</v>
      </c>
      <c r="Q8" s="245">
        <f>INDEX(Calculator!$B$6:$AL$28,MATCH($N8,Calculator!$A$6:$A$28,0),COLUMN($AG$1)-1)</f>
        <v>23.270266167553359</v>
      </c>
      <c r="R8" s="245">
        <f>INDEX(Calculator!$B$6:$AL$28,MATCH($N8,Calculator!$A$6:$A$28,0),COLUMN($E$1)-1)</f>
        <v>3.9699728748214635</v>
      </c>
    </row>
    <row r="9" spans="1:18" x14ac:dyDescent="0.3">
      <c r="A9" s="225"/>
      <c r="B9" s="225"/>
      <c r="C9" s="245"/>
      <c r="D9" s="245"/>
      <c r="E9" s="245"/>
      <c r="G9" s="225">
        <v>5</v>
      </c>
      <c r="H9" s="225" t="str">
        <f>INDEX(Calculator!$B$6:$AL$28,MATCH($G9,Calculator!$A$6:$A$28,0),COLUMN($B$1)-1)</f>
        <v>DER Batteries</v>
      </c>
      <c r="I9" s="245">
        <f>INDEX(Calculator!$B$6:$AL$28,MATCH($G9,Calculator!$A$6:$A$28,0),COLUMN($C$1)-1)</f>
        <v>-8.4791467692201805E-3</v>
      </c>
      <c r="J9" s="245">
        <f>INDEX(Calculator!$B$6:$AL$28,MATCH($G9,Calculator!$A$6:$A$28,0),COLUMN($AG$1)-1)</f>
        <v>20.765250096881626</v>
      </c>
      <c r="K9" s="245">
        <f>INDEX(Calculator!$B$6:$AL$28,MATCH($G9,Calculator!$A$6:$A$28,0),COLUMN($E$1)-1)</f>
        <v>0.9591666523174045</v>
      </c>
      <c r="N9" s="225" t="s">
        <v>88</v>
      </c>
      <c r="O9" s="225" t="str">
        <f>INDEX(Calculator!$B$6:$AL$28,MATCH($N9,Calculator!$A$6:$A$28,0),COLUMN($B$1)-1)</f>
        <v>Diversified + DER Batteries</v>
      </c>
      <c r="P9" s="245">
        <f>INDEX(Calculator!$B$6:$AL$28,MATCH($N9,Calculator!$A$6:$A$28,0),COLUMN($C$1)-1)</f>
        <v>0.52951959725525344</v>
      </c>
      <c r="Q9" s="245">
        <f>INDEX(Calculator!$B$6:$AL$28,MATCH($N9,Calculator!$A$6:$A$28,0),COLUMN($AG$1)-1)</f>
        <v>23.641991348718197</v>
      </c>
      <c r="R9" s="245">
        <f>INDEX(Calculator!$B$6:$AL$28,MATCH($N9,Calculator!$A$6:$A$28,0),COLUMN($E$1)-1)</f>
        <v>3.2397419466273618</v>
      </c>
    </row>
    <row r="10" spans="1:18" x14ac:dyDescent="0.3">
      <c r="A10" s="225"/>
      <c r="B10" s="225"/>
      <c r="C10" s="245"/>
      <c r="D10" s="245"/>
      <c r="E10" s="245"/>
      <c r="G10" s="225">
        <v>6</v>
      </c>
      <c r="H10" s="225" t="str">
        <f>INDEX(Calculator!$B$6:$AL$28,MATCH($G10,Calculator!$A$6:$A$28,0),COLUMN($B$1)-1)</f>
        <v>MT Overbuild, PHES + All East Wind</v>
      </c>
      <c r="I10" s="245">
        <f>INDEX(Calculator!$B$6:$AL$28,MATCH($G10,Calculator!$A$6:$A$28,0),COLUMN($C$1)-1)</f>
        <v>-0.34192030849244059</v>
      </c>
      <c r="J10" s="245">
        <f>INDEX(Calculator!$B$6:$AL$28,MATCH($G10,Calculator!$A$6:$A$28,0),COLUMN($AG$1)-1)</f>
        <v>20.874577560431113</v>
      </c>
      <c r="K10" s="245">
        <f>INDEX(Calculator!$B$6:$AL$28,MATCH($G10,Calculator!$A$6:$A$28,0),COLUMN($E$1)-1)</f>
        <v>0.63797474465097181</v>
      </c>
      <c r="N10" s="225" t="s">
        <v>91</v>
      </c>
      <c r="O10" s="225" t="str">
        <f>INDEX(Calculator!$B$6:$AL$28,MATCH($N10,Calculator!$A$6:$A$28,0),COLUMN($B$1)-1)</f>
        <v>Diversified + All DR Programs</v>
      </c>
      <c r="P10" s="245">
        <f>INDEX(Calculator!$B$6:$AL$28,MATCH($N10,Calculator!$A$6:$A$28,0),COLUMN($C$1)-1)</f>
        <v>1.3249103248338068</v>
      </c>
      <c r="Q10" s="245">
        <f>INDEX(Calculator!$B$6:$AL$28,MATCH($N10,Calculator!$A$6:$A$28,0),COLUMN($AG$1)-1)</f>
        <v>23.671190557229849</v>
      </c>
      <c r="R10" s="245">
        <f>INDEX(Calculator!$B$6:$AL$28,MATCH($N10,Calculator!$A$6:$A$28,0),COLUMN($E$1)-1)</f>
        <v>6.5971427445973641</v>
      </c>
    </row>
    <row r="11" spans="1:18" x14ac:dyDescent="0.3">
      <c r="A11" s="225"/>
      <c r="B11" s="225"/>
      <c r="C11" s="245"/>
      <c r="D11" s="245"/>
      <c r="E11" s="245"/>
      <c r="G11" s="225">
        <v>7</v>
      </c>
      <c r="H11" s="225" t="str">
        <f>INDEX(Calculator!$B$6:$AL$28,MATCH($G11,Calculator!$A$6:$A$28,0),COLUMN($B$1)-1)</f>
        <v>MT Overbuild, PHES + East, Central Wind</v>
      </c>
      <c r="I11" s="245">
        <f>INDEX(Calculator!$B$6:$AL$28,MATCH($G11,Calculator!$A$6:$A$28,0),COLUMN($C$1)-1)</f>
        <v>-0.26493148737481675</v>
      </c>
      <c r="J11" s="245">
        <f>INDEX(Calculator!$B$6:$AL$28,MATCH($G11,Calculator!$A$6:$A$28,0),COLUMN($AG$1)-1)</f>
        <v>21.182535580371194</v>
      </c>
      <c r="K11" s="245">
        <f>INDEX(Calculator!$B$6:$AL$28,MATCH($G11,Calculator!$A$6:$A$28,0),COLUMN($E$1)-1)</f>
        <v>0.25070715150982981</v>
      </c>
      <c r="N11" s="225" t="s">
        <v>94</v>
      </c>
      <c r="O11" s="225" t="str">
        <f>INDEX(Calculator!$B$6:$AL$28,MATCH($N11,Calculator!$A$6:$A$28,0),COLUMN($B$1)-1)</f>
        <v>Least Diversified w/o Nuclear</v>
      </c>
      <c r="P11" s="245">
        <f>INDEX(Calculator!$B$6:$AL$28,MATCH($N11,Calculator!$A$6:$A$28,0),COLUMN($C$1)-1)</f>
        <v>-4.9867279522662795E-2</v>
      </c>
      <c r="Q11" s="245">
        <f>INDEX(Calculator!$B$6:$AL$28,MATCH($N11,Calculator!$A$6:$A$28,0),COLUMN($AG$1)-1)</f>
        <v>21.086702797645255</v>
      </c>
      <c r="R11" s="245">
        <f>INDEX(Calculator!$B$6:$AL$28,MATCH($N11,Calculator!$A$6:$A$28,0),COLUMN($E$1)-1)</f>
        <v>0.76351314854102537</v>
      </c>
    </row>
    <row r="12" spans="1:18" x14ac:dyDescent="0.3">
      <c r="A12" s="225"/>
      <c r="B12" s="225"/>
      <c r="C12" s="245"/>
      <c r="D12" s="245"/>
      <c r="E12" s="245"/>
      <c r="G12" s="225">
        <v>8</v>
      </c>
      <c r="H12" s="225" t="str">
        <f>INDEX(Calculator!$B$6:$AL$28,MATCH($G12,Calculator!$A$6:$A$28,0),COLUMN($B$1)-1)</f>
        <v>PNW PHES</v>
      </c>
      <c r="I12" s="245">
        <f>INDEX(Calculator!$B$6:$AL$28,MATCH($G12,Calculator!$A$6:$A$28,0),COLUMN($C$1)-1)</f>
        <v>-0.30137863362237943</v>
      </c>
      <c r="J12" s="245">
        <f>INDEX(Calculator!$B$6:$AL$28,MATCH($G12,Calculator!$A$6:$A$28,0),COLUMN($AG$1)-1)</f>
        <v>21.282063041680402</v>
      </c>
      <c r="K12" s="245">
        <f>INDEX(Calculator!$B$6:$AL$28,MATCH($G12,Calculator!$A$6:$A$28,0),COLUMN($E$1)-1)</f>
        <v>0.41611568874754634</v>
      </c>
      <c r="N12" s="225" t="s">
        <v>97</v>
      </c>
      <c r="O12" s="225" t="str">
        <f>INDEX(Calculator!$B$6:$AL$28,MATCH($N12,Calculator!$A$6:$A$28,0),COLUMN($B$1)-1)</f>
        <v>Most Diversified w/o Nuclear</v>
      </c>
      <c r="P12" s="245">
        <f>INDEX(Calculator!$B$6:$AL$28,MATCH($N12,Calculator!$A$6:$A$28,0),COLUMN($C$1)-1)</f>
        <v>1.3243143908290278</v>
      </c>
      <c r="Q12" s="245">
        <f>INDEX(Calculator!$B$6:$AL$28,MATCH($N12,Calculator!$A$6:$A$28,0),COLUMN($AG$1)-1)</f>
        <v>22.511398191198033</v>
      </c>
      <c r="R12" s="245">
        <f>INDEX(Calculator!$B$6:$AL$28,MATCH($N12,Calculator!$A$6:$A$28,0),COLUMN($E$1)-1)</f>
        <v>6.8828615600910794</v>
      </c>
    </row>
    <row r="13" spans="1:18" x14ac:dyDescent="0.3">
      <c r="A13" s="225"/>
      <c r="B13" s="225"/>
      <c r="C13" s="245"/>
      <c r="D13" s="245"/>
      <c r="E13" s="245"/>
      <c r="G13" s="225">
        <v>9</v>
      </c>
      <c r="H13" s="225" t="str">
        <f>INDEX(Calculator!$B$6:$AL$28,MATCH($G13,Calculator!$A$6:$A$28,0),COLUMN($B$1)-1)</f>
        <v>Nuclear</v>
      </c>
      <c r="I13" s="245">
        <f>INDEX(Calculator!$B$6:$AL$28,MATCH($G13,Calculator!$A$6:$A$28,0),COLUMN($C$1)-1)</f>
        <v>-0.26066239097265942</v>
      </c>
      <c r="J13" s="245">
        <f>INDEX(Calculator!$B$6:$AL$28,MATCH($G13,Calculator!$A$6:$A$28,0),COLUMN($AG$1)-1)</f>
        <v>22.319807370332054</v>
      </c>
      <c r="K13" s="245">
        <f>INDEX(Calculator!$B$6:$AL$28,MATCH($G13,Calculator!$A$6:$A$28,0),COLUMN($E$1)-1)</f>
        <v>0.16785233244950493</v>
      </c>
      <c r="N13" s="225"/>
      <c r="O13" s="225"/>
      <c r="P13" s="245"/>
      <c r="Q13" s="245"/>
      <c r="R13" s="245"/>
    </row>
    <row r="14" spans="1:18" x14ac:dyDescent="0.3">
      <c r="A14" s="225"/>
      <c r="B14" s="225"/>
      <c r="C14" s="245"/>
      <c r="D14" s="245"/>
      <c r="E14" s="245"/>
      <c r="G14" s="225">
        <v>10</v>
      </c>
      <c r="H14" s="225" t="str">
        <f>INDEX(Calculator!$B$6:$AL$28,MATCH($G14,Calculator!$A$6:$A$28,0),COLUMN($B$1)-1)</f>
        <v>Restricted Thermal</v>
      </c>
      <c r="I14" s="245">
        <f>INDEX(Calculator!$B$6:$AL$28,MATCH($G14,Calculator!$A$6:$A$28,0),COLUMN($C$1)-1)</f>
        <v>0.45938105303188193</v>
      </c>
      <c r="J14" s="245">
        <f>INDEX(Calculator!$B$6:$AL$28,MATCH($G14,Calculator!$A$6:$A$28,0),COLUMN($AG$1)-1)</f>
        <v>21.752056091785363</v>
      </c>
      <c r="K14" s="245">
        <f>INDEX(Calculator!$B$6:$AL$28,MATCH($G14,Calculator!$A$6:$A$28,0),COLUMN($E$1)-1)</f>
        <v>3.1118971516691087</v>
      </c>
      <c r="N14" s="225"/>
      <c r="O14" s="225"/>
      <c r="P14" s="245"/>
      <c r="Q14" s="245"/>
      <c r="R14" s="245"/>
    </row>
    <row r="15" spans="1:18" x14ac:dyDescent="0.3">
      <c r="A15" s="225"/>
      <c r="B15" s="225"/>
      <c r="C15" s="245"/>
      <c r="D15" s="245"/>
      <c r="E15" s="245"/>
      <c r="G15" s="225">
        <v>13</v>
      </c>
      <c r="H15" s="225" t="str">
        <f>INDEX(Calculator!$B$6:$AL$28,MATCH($G15,Calculator!$A$6:$A$28,0),COLUMN($B$1)-1)</f>
        <v>High Carbon Price</v>
      </c>
      <c r="I15" s="245">
        <f>INDEX(Calculator!$B$6:$AL$28,MATCH($G15,Calculator!$A$6:$A$28,0),COLUMN($C$1)-1)</f>
        <v>-0.23720614173632704</v>
      </c>
      <c r="J15" s="245">
        <f>INDEX(Calculator!$B$6:$AL$28,MATCH($G15,Calculator!$A$6:$A$28,0),COLUMN($AG$1)-1)</f>
        <v>20.832597793563796</v>
      </c>
      <c r="K15" s="245">
        <f>INDEX(Calculator!$B$6:$AL$28,MATCH($G15,Calculator!$A$6:$A$28,0),COLUMN($E$1)-1)</f>
        <v>0.1386296806901901</v>
      </c>
      <c r="N15" s="225"/>
      <c r="O15" s="225"/>
      <c r="P15" s="245"/>
      <c r="Q15" s="245"/>
      <c r="R15" s="245"/>
    </row>
    <row r="16" spans="1:18" x14ac:dyDescent="0.3">
      <c r="A16" s="225"/>
      <c r="B16" s="225"/>
      <c r="C16" s="245"/>
      <c r="D16" s="245"/>
      <c r="E16" s="245"/>
      <c r="G16" s="225">
        <v>14</v>
      </c>
      <c r="H16" s="225" t="str">
        <f>INDEX(Calculator!$B$6:$AL$28,MATCH($G16,Calculator!$A$6:$A$28,0),COLUMN($B$1)-1)</f>
        <v>No H2 Fuel</v>
      </c>
      <c r="I16" s="245">
        <f>INDEX(Calculator!$B$6:$AL$28,MATCH($G16,Calculator!$A$6:$A$28,0),COLUMN($C$1)-1)</f>
        <v>-1.4095776550465573</v>
      </c>
      <c r="J16" s="245">
        <f>INDEX(Calculator!$B$6:$AL$28,MATCH($G16,Calculator!$A$6:$A$28,0),COLUMN($AG$1)-1)</f>
        <v>25.074316654892353</v>
      </c>
      <c r="K16" s="245">
        <f>INDEX(Calculator!$B$6:$AL$28,MATCH($G16,Calculator!$A$6:$A$28,0),COLUMN($E$1)-1)</f>
        <v>0.1</v>
      </c>
      <c r="N16" s="225"/>
      <c r="O16" s="225"/>
      <c r="P16" s="245"/>
      <c r="Q16" s="245"/>
      <c r="R16" s="245"/>
    </row>
    <row r="17" spans="1:18" x14ac:dyDescent="0.3">
      <c r="A17" s="225"/>
      <c r="B17" s="225"/>
      <c r="C17" s="245"/>
      <c r="D17" s="245"/>
      <c r="E17" s="245"/>
      <c r="G17" s="225"/>
      <c r="H17" s="225"/>
      <c r="I17" s="245"/>
      <c r="J17" s="245"/>
      <c r="K17" s="245"/>
      <c r="N17" s="225"/>
      <c r="O17" s="225"/>
      <c r="P17" s="245"/>
      <c r="Q17" s="245"/>
      <c r="R17" s="245"/>
    </row>
    <row r="18" spans="1:18" x14ac:dyDescent="0.3">
      <c r="A18" s="225"/>
      <c r="B18" s="225"/>
      <c r="C18" s="245"/>
      <c r="D18" s="245"/>
      <c r="E18" s="245"/>
      <c r="N18" s="225"/>
      <c r="O18" s="225"/>
      <c r="P18" s="245"/>
      <c r="Q18" s="245"/>
      <c r="R18" s="24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heetViews>
  <sheetFormatPr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E42"/>
  <sheetViews>
    <sheetView workbookViewId="0"/>
  </sheetViews>
  <sheetFormatPr defaultRowHeight="14.4" x14ac:dyDescent="0.3"/>
  <cols>
    <col min="1" max="1" width="21.44140625" customWidth="1"/>
    <col min="2" max="2" width="21.5546875" customWidth="1"/>
    <col min="3" max="3" width="16.33203125" customWidth="1"/>
    <col min="4" max="4" width="16.33203125" style="11" customWidth="1"/>
    <col min="5" max="6" width="16.33203125" customWidth="1"/>
    <col min="7" max="8" width="12.109375" bestFit="1" customWidth="1"/>
    <col min="9" max="9" width="10.5546875" bestFit="1" customWidth="1"/>
    <col min="10" max="10" width="14.33203125" bestFit="1" customWidth="1"/>
    <col min="11" max="11" width="10.5546875" bestFit="1" customWidth="1"/>
    <col min="12" max="13" width="10.5546875" customWidth="1"/>
    <col min="14" max="14" width="13.33203125" bestFit="1" customWidth="1"/>
    <col min="15" max="19" width="10.33203125" customWidth="1"/>
    <col min="20" max="32" width="9.5546875" bestFit="1" customWidth="1"/>
  </cols>
  <sheetData>
    <row r="1" spans="1:6" x14ac:dyDescent="0.3">
      <c r="C1" s="72" t="s">
        <v>258</v>
      </c>
      <c r="D1" s="73"/>
      <c r="E1" s="74"/>
      <c r="F1" s="75"/>
    </row>
    <row r="2" spans="1:6" s="10" customFormat="1" ht="28.8" x14ac:dyDescent="0.3">
      <c r="A2" s="28" t="s">
        <v>259</v>
      </c>
      <c r="B2" s="14" t="s">
        <v>260</v>
      </c>
      <c r="C2" s="78" t="s">
        <v>261</v>
      </c>
      <c r="D2" s="79" t="s">
        <v>262</v>
      </c>
      <c r="E2" s="80" t="s">
        <v>263</v>
      </c>
      <c r="F2" s="81" t="s">
        <v>264</v>
      </c>
    </row>
    <row r="3" spans="1:6" x14ac:dyDescent="0.3">
      <c r="A3" s="161">
        <f t="array" ref="A3:A32">Aurora_Output!AM3:AM32</f>
        <v>1</v>
      </c>
      <c r="B3" s="165" t="str">
        <f t="array" ref="B3:B32">Aurora_Output!AN3:AN32</f>
        <v>Reference</v>
      </c>
      <c r="C3" s="168">
        <f t="array" ref="C3:F32">TRANSPOSE(B39:AE42)</f>
        <v>48824734.426647402</v>
      </c>
      <c r="D3" s="57">
        <v>28840.81857740361</v>
      </c>
      <c r="E3" s="57">
        <v>11425.574821060523</v>
      </c>
      <c r="F3" s="70">
        <v>9035.9538655191427</v>
      </c>
    </row>
    <row r="4" spans="1:6" x14ac:dyDescent="0.3">
      <c r="A4" s="161">
        <v>2</v>
      </c>
      <c r="B4" s="165" t="str">
        <v>DSM Bundle 10</v>
      </c>
      <c r="C4" s="168">
        <v>46015276.267476037</v>
      </c>
      <c r="D4" s="57">
        <v>28789.308361614763</v>
      </c>
      <c r="E4" s="57">
        <v>10926.103431843221</v>
      </c>
      <c r="F4" s="70">
        <v>8969.8310538541991</v>
      </c>
    </row>
    <row r="5" spans="1:6" x14ac:dyDescent="0.3">
      <c r="A5" s="161">
        <v>3</v>
      </c>
      <c r="B5" s="165" t="str">
        <v>DSM Bundle 7</v>
      </c>
      <c r="C5" s="168">
        <v>43773328.446320809</v>
      </c>
      <c r="D5" s="57">
        <v>28788.061987160821</v>
      </c>
      <c r="E5" s="57">
        <v>10748.861633894965</v>
      </c>
      <c r="F5" s="70">
        <v>8927.4275558178779</v>
      </c>
    </row>
    <row r="6" spans="1:6" x14ac:dyDescent="0.3">
      <c r="A6" s="161">
        <v>4</v>
      </c>
      <c r="B6" s="165" t="str">
        <v>DER Solar</v>
      </c>
      <c r="C6" s="168">
        <v>45689278.133919604</v>
      </c>
      <c r="D6" s="57">
        <v>28769.97093434236</v>
      </c>
      <c r="E6" s="57">
        <v>11136.076924441382</v>
      </c>
      <c r="F6" s="70">
        <v>8970.690514553804</v>
      </c>
    </row>
    <row r="7" spans="1:6" x14ac:dyDescent="0.3">
      <c r="A7" s="161">
        <v>5</v>
      </c>
      <c r="B7" s="165" t="str">
        <v>DER Batteries</v>
      </c>
      <c r="C7" s="168">
        <v>49661718.822040476</v>
      </c>
      <c r="D7" s="57">
        <v>28786.065698194725</v>
      </c>
      <c r="E7" s="57">
        <v>11208.464695082977</v>
      </c>
      <c r="F7" s="70">
        <v>9021.9382161208196</v>
      </c>
    </row>
    <row r="8" spans="1:6" x14ac:dyDescent="0.3">
      <c r="A8" s="161">
        <v>6</v>
      </c>
      <c r="B8" s="165" t="str">
        <v>MT Overbuild, PHES + All East Wind</v>
      </c>
      <c r="C8" s="168">
        <v>46369490.667622931</v>
      </c>
      <c r="D8" s="57">
        <v>28779.373262693116</v>
      </c>
      <c r="E8" s="57">
        <v>11089.966425802559</v>
      </c>
      <c r="F8" s="70">
        <v>8968.2614240969997</v>
      </c>
    </row>
    <row r="9" spans="1:6" x14ac:dyDescent="0.3">
      <c r="A9" s="161">
        <v>7</v>
      </c>
      <c r="B9" s="165" t="str">
        <v>MT Overbuild, PHES + East, Central Wind</v>
      </c>
      <c r="C9" s="168">
        <v>43176883.575529203</v>
      </c>
      <c r="D9" s="57">
        <v>28757.721942018543</v>
      </c>
      <c r="E9" s="57">
        <v>11391.669268822297</v>
      </c>
      <c r="F9" s="70">
        <v>8933.2721634873888</v>
      </c>
    </row>
    <row r="10" spans="1:6" x14ac:dyDescent="0.3">
      <c r="A10" s="161">
        <v>8</v>
      </c>
      <c r="B10" s="165" t="str">
        <v>PNW PHES</v>
      </c>
      <c r="C10" s="168">
        <v>47106951.966523558</v>
      </c>
      <c r="D10" s="57">
        <v>28805.083223394118</v>
      </c>
      <c r="E10" s="57">
        <v>11285.431326186284</v>
      </c>
      <c r="F10" s="70">
        <v>9004.5764743310865</v>
      </c>
    </row>
    <row r="11" spans="1:6" x14ac:dyDescent="0.3">
      <c r="A11" s="161">
        <v>9</v>
      </c>
      <c r="B11" s="165" t="str">
        <v>Nuclear</v>
      </c>
      <c r="C11" s="168">
        <v>44754734.893816933</v>
      </c>
      <c r="D11" s="57">
        <v>28869.114275030966</v>
      </c>
      <c r="E11" s="57">
        <v>11005.239313662052</v>
      </c>
      <c r="F11" s="70">
        <v>8988.6435710857622</v>
      </c>
    </row>
    <row r="12" spans="1:6" x14ac:dyDescent="0.3">
      <c r="A12" s="161">
        <v>10</v>
      </c>
      <c r="B12" s="165" t="str">
        <v>Restricted Thermal</v>
      </c>
      <c r="C12" s="168">
        <v>36817308.636203535</v>
      </c>
      <c r="D12" s="57">
        <v>28728.269618337101</v>
      </c>
      <c r="E12" s="57">
        <v>9629.5713372603059</v>
      </c>
      <c r="F12" s="70">
        <v>8754.6387716820464</v>
      </c>
    </row>
    <row r="13" spans="1:6" x14ac:dyDescent="0.3">
      <c r="A13" s="161" t="str">
        <v>11 A1</v>
      </c>
      <c r="B13" s="165" t="str">
        <v>Least Diversified w/ Nuclear</v>
      </c>
      <c r="C13" s="168">
        <v>42499522.124366954</v>
      </c>
      <c r="D13" s="57">
        <v>28755.510114041623</v>
      </c>
      <c r="E13" s="57">
        <v>10640.407072126865</v>
      </c>
      <c r="F13" s="70">
        <v>8908.3608533667866</v>
      </c>
    </row>
    <row r="14" spans="1:6" x14ac:dyDescent="0.3">
      <c r="A14" s="161" t="str">
        <v>11 A2</v>
      </c>
      <c r="B14" s="165" t="str">
        <v>Diversified + PNW PHES</v>
      </c>
      <c r="C14" s="168">
        <v>43954496.325902477</v>
      </c>
      <c r="D14" s="57">
        <v>28861.168297736207</v>
      </c>
      <c r="E14" s="57">
        <v>10698.449973141775</v>
      </c>
      <c r="F14" s="70">
        <v>8959.5337518480374</v>
      </c>
    </row>
    <row r="15" spans="1:6" x14ac:dyDescent="0.3">
      <c r="A15" s="161" t="str">
        <v>11 A3</v>
      </c>
      <c r="B15" s="165" t="str">
        <v>Diversified + DER Solar</v>
      </c>
      <c r="C15" s="168">
        <v>42523287.055220582</v>
      </c>
      <c r="D15" s="57">
        <v>28762.754012968333</v>
      </c>
      <c r="E15" s="57">
        <v>10662.588791197166</v>
      </c>
      <c r="F15" s="70">
        <v>8916.4643633617088</v>
      </c>
    </row>
    <row r="16" spans="1:6" x14ac:dyDescent="0.3">
      <c r="A16" s="161" t="str">
        <v>11 A4</v>
      </c>
      <c r="B16" s="165" t="str">
        <v>Diversified + DER Batteries</v>
      </c>
      <c r="C16" s="168">
        <v>43090791.880220547</v>
      </c>
      <c r="D16" s="57">
        <v>28857.828079131432</v>
      </c>
      <c r="E16" s="57">
        <v>10598.30336789228</v>
      </c>
      <c r="F16" s="70">
        <v>8949.9024199194973</v>
      </c>
    </row>
    <row r="17" spans="1:29" x14ac:dyDescent="0.3">
      <c r="A17" s="161" t="str">
        <v>11 A5</v>
      </c>
      <c r="B17" s="165" t="str">
        <v>Diversified + All DR Programs</v>
      </c>
      <c r="C17" s="168">
        <v>41543008.34868174</v>
      </c>
      <c r="D17" s="57">
        <v>28835.872930682846</v>
      </c>
      <c r="E17" s="57">
        <v>10307.452456608415</v>
      </c>
      <c r="F17" s="70">
        <v>8872.7324627534254</v>
      </c>
    </row>
    <row r="18" spans="1:29" x14ac:dyDescent="0.3">
      <c r="A18" s="161" t="str">
        <v>11 B1</v>
      </c>
      <c r="B18" s="165" t="str">
        <v>Least Diversified w/o Nuclear</v>
      </c>
      <c r="C18" s="168">
        <v>45019057.862438604</v>
      </c>
      <c r="D18" s="57">
        <v>28865.410256945004</v>
      </c>
      <c r="E18" s="57">
        <v>10847.638029536232</v>
      </c>
      <c r="F18" s="70">
        <v>8975.4986748670926</v>
      </c>
    </row>
    <row r="19" spans="1:29" x14ac:dyDescent="0.3">
      <c r="A19" s="161" t="str">
        <v>11 B2</v>
      </c>
      <c r="B19" s="165" t="str">
        <v>Most Diversified w/o Nuclear</v>
      </c>
      <c r="C19" s="168">
        <v>44372601.42019628</v>
      </c>
      <c r="D19" s="57">
        <v>28759.32250823942</v>
      </c>
      <c r="E19" s="57">
        <v>10804.903426960111</v>
      </c>
      <c r="F19" s="70">
        <v>8940.1590769666946</v>
      </c>
    </row>
    <row r="20" spans="1:29" x14ac:dyDescent="0.3">
      <c r="A20" s="161">
        <v>12</v>
      </c>
      <c r="B20" s="165" t="str">
        <v>100% Renewable/Non-Emitting by 2030</v>
      </c>
      <c r="C20" s="168">
        <v>0</v>
      </c>
      <c r="D20" s="57">
        <v>0</v>
      </c>
      <c r="E20" s="57">
        <v>0</v>
      </c>
      <c r="F20" s="70">
        <v>0</v>
      </c>
    </row>
    <row r="21" spans="1:29" x14ac:dyDescent="0.3">
      <c r="A21" s="161">
        <v>13</v>
      </c>
      <c r="B21" s="165" t="str">
        <v>High Carbon Price</v>
      </c>
      <c r="C21" s="168">
        <v>40960978.151360974</v>
      </c>
      <c r="D21" s="57">
        <v>28844.408951232501</v>
      </c>
      <c r="E21" s="57">
        <v>11378.425156192854</v>
      </c>
      <c r="F21" s="70">
        <v>8917.9439178118482</v>
      </c>
    </row>
    <row r="22" spans="1:29" x14ac:dyDescent="0.3">
      <c r="A22" s="161">
        <v>14</v>
      </c>
      <c r="B22" s="165" t="str">
        <v>No H2 Fuel</v>
      </c>
      <c r="C22" s="162">
        <v>90344699.241870731</v>
      </c>
      <c r="D22" s="163">
        <v>29624.023825426586</v>
      </c>
      <c r="E22" s="163">
        <v>15954.693233430386</v>
      </c>
      <c r="F22" s="164">
        <v>9907.5784248076379</v>
      </c>
    </row>
    <row r="23" spans="1:29" x14ac:dyDescent="0.3">
      <c r="A23" s="161">
        <v>0</v>
      </c>
      <c r="B23" s="165">
        <v>0</v>
      </c>
      <c r="C23" s="162">
        <v>0</v>
      </c>
      <c r="D23" s="163">
        <v>0</v>
      </c>
      <c r="E23" s="163">
        <v>0</v>
      </c>
      <c r="F23" s="164">
        <v>0</v>
      </c>
    </row>
    <row r="24" spans="1:29" x14ac:dyDescent="0.3">
      <c r="A24" s="161">
        <v>0</v>
      </c>
      <c r="B24" s="165">
        <v>0</v>
      </c>
      <c r="C24" s="162">
        <v>0</v>
      </c>
      <c r="D24" s="163">
        <v>0</v>
      </c>
      <c r="E24" s="163">
        <v>0</v>
      </c>
      <c r="F24" s="164">
        <v>0</v>
      </c>
    </row>
    <row r="25" spans="1:29" x14ac:dyDescent="0.3">
      <c r="A25">
        <v>0</v>
      </c>
      <c r="B25" s="11">
        <v>0</v>
      </c>
      <c r="C25" s="162">
        <v>0</v>
      </c>
      <c r="D25" s="163">
        <v>0</v>
      </c>
      <c r="E25" s="163">
        <v>0</v>
      </c>
      <c r="F25" s="164">
        <v>0</v>
      </c>
      <c r="Y25" s="163"/>
      <c r="Z25" s="163"/>
      <c r="AA25" s="163"/>
      <c r="AB25" s="163"/>
    </row>
    <row r="26" spans="1:29" x14ac:dyDescent="0.3">
      <c r="A26">
        <v>0</v>
      </c>
      <c r="B26" s="11">
        <v>0</v>
      </c>
      <c r="C26" s="162">
        <v>0</v>
      </c>
      <c r="D26" s="163">
        <v>0</v>
      </c>
      <c r="E26" s="163">
        <v>0</v>
      </c>
      <c r="F26" s="164">
        <v>0</v>
      </c>
      <c r="Z26" s="163"/>
      <c r="AA26" s="163"/>
      <c r="AB26" s="163"/>
      <c r="AC26" s="163"/>
    </row>
    <row r="27" spans="1:29" x14ac:dyDescent="0.3">
      <c r="A27">
        <v>0</v>
      </c>
      <c r="B27" s="11">
        <v>0</v>
      </c>
      <c r="C27" s="162">
        <v>0</v>
      </c>
      <c r="D27" s="163">
        <v>0</v>
      </c>
      <c r="E27" s="163">
        <v>0</v>
      </c>
      <c r="F27" s="164">
        <v>0</v>
      </c>
    </row>
    <row r="28" spans="1:29" x14ac:dyDescent="0.3">
      <c r="A28">
        <v>0</v>
      </c>
      <c r="B28" s="11">
        <v>0</v>
      </c>
      <c r="C28" s="162">
        <v>0</v>
      </c>
      <c r="D28" s="163">
        <v>0</v>
      </c>
      <c r="E28" s="163">
        <v>0</v>
      </c>
      <c r="F28" s="164">
        <v>0</v>
      </c>
    </row>
    <row r="29" spans="1:29" x14ac:dyDescent="0.3">
      <c r="A29">
        <v>0</v>
      </c>
      <c r="B29" s="11">
        <v>0</v>
      </c>
      <c r="C29" s="162">
        <v>0</v>
      </c>
      <c r="D29" s="163">
        <v>0</v>
      </c>
      <c r="E29" s="163">
        <v>0</v>
      </c>
      <c r="F29" s="164">
        <v>0</v>
      </c>
    </row>
    <row r="30" spans="1:29" x14ac:dyDescent="0.3">
      <c r="A30">
        <v>0</v>
      </c>
      <c r="B30" s="11">
        <v>0</v>
      </c>
      <c r="C30" s="162">
        <v>0</v>
      </c>
      <c r="D30" s="163">
        <v>0</v>
      </c>
      <c r="E30" s="163">
        <v>0</v>
      </c>
      <c r="F30" s="164">
        <v>0</v>
      </c>
    </row>
    <row r="31" spans="1:29" x14ac:dyDescent="0.3">
      <c r="A31">
        <v>0</v>
      </c>
      <c r="B31" s="11">
        <v>0</v>
      </c>
      <c r="C31" s="162">
        <v>0</v>
      </c>
      <c r="D31" s="163">
        <v>0</v>
      </c>
      <c r="E31" s="163">
        <v>0</v>
      </c>
      <c r="F31" s="164">
        <v>0</v>
      </c>
    </row>
    <row r="32" spans="1:29" x14ac:dyDescent="0.3">
      <c r="A32">
        <v>0</v>
      </c>
      <c r="B32" s="11">
        <v>0</v>
      </c>
      <c r="C32" s="162">
        <v>0</v>
      </c>
      <c r="D32" s="163">
        <v>0</v>
      </c>
      <c r="E32" s="163">
        <v>0</v>
      </c>
      <c r="F32" s="164">
        <v>0</v>
      </c>
    </row>
    <row r="37" spans="1:31" x14ac:dyDescent="0.3">
      <c r="B37" s="4"/>
    </row>
    <row r="38" spans="1:31" x14ac:dyDescent="0.3">
      <c r="A38" s="81" t="s">
        <v>158</v>
      </c>
      <c r="B38" s="79">
        <f t="array" ref="B38:AE38">Aurora_Output!D3:AK3</f>
        <v>1</v>
      </c>
      <c r="C38" s="79">
        <v>2</v>
      </c>
      <c r="D38" s="79">
        <v>3</v>
      </c>
      <c r="E38" s="79">
        <v>4</v>
      </c>
      <c r="F38" s="79">
        <v>5</v>
      </c>
      <c r="G38" s="79">
        <v>6</v>
      </c>
      <c r="H38" s="79">
        <v>7</v>
      </c>
      <c r="I38" s="79">
        <v>8</v>
      </c>
      <c r="J38" s="79">
        <v>9</v>
      </c>
      <c r="K38" s="79">
        <v>10</v>
      </c>
      <c r="L38" s="79" t="str">
        <v>11 A1</v>
      </c>
      <c r="M38" s="79" t="str">
        <v>11 A2</v>
      </c>
      <c r="N38" s="79" t="str">
        <v>11 A3</v>
      </c>
      <c r="O38" s="79" t="str">
        <v>11 A4</v>
      </c>
      <c r="P38" s="79" t="str">
        <v>11 A5</v>
      </c>
      <c r="Q38" s="79" t="str">
        <v>11 B1</v>
      </c>
      <c r="R38" s="79" t="str">
        <v>11 B2</v>
      </c>
      <c r="S38" s="79">
        <v>12</v>
      </c>
      <c r="T38" s="79">
        <v>13</v>
      </c>
      <c r="U38" s="79">
        <v>14</v>
      </c>
      <c r="V38" s="79">
        <v>0</v>
      </c>
      <c r="W38" s="79">
        <v>0</v>
      </c>
      <c r="X38" s="79">
        <v>0</v>
      </c>
      <c r="Y38" s="79">
        <v>0</v>
      </c>
      <c r="Z38" s="79">
        <v>0</v>
      </c>
      <c r="AA38" s="79">
        <v>0</v>
      </c>
      <c r="AB38" s="79">
        <v>0</v>
      </c>
      <c r="AC38" s="79">
        <v>0</v>
      </c>
      <c r="AD38" s="79">
        <v>0</v>
      </c>
      <c r="AE38" s="79">
        <v>0</v>
      </c>
    </row>
    <row r="39" spans="1:31" x14ac:dyDescent="0.3">
      <c r="A39" s="22" t="s">
        <v>173</v>
      </c>
      <c r="B39" s="56">
        <f t="array" ref="B39:AE39">Aurora_Output!D7:AK7</f>
        <v>48824734.426647402</v>
      </c>
      <c r="C39" s="56">
        <v>46015276.267476037</v>
      </c>
      <c r="D39" s="209">
        <v>43773328.446320809</v>
      </c>
      <c r="E39" s="56">
        <v>45689278.133919604</v>
      </c>
      <c r="F39" s="56">
        <v>49661718.822040476</v>
      </c>
      <c r="G39" s="56">
        <v>46369490.667622931</v>
      </c>
      <c r="H39" s="56">
        <v>43176883.575529203</v>
      </c>
      <c r="I39" s="56">
        <v>47106951.966523558</v>
      </c>
      <c r="J39" s="56">
        <v>44754734.893816933</v>
      </c>
      <c r="K39" s="56">
        <v>36817308.636203535</v>
      </c>
      <c r="L39" s="56">
        <v>42499522.124366954</v>
      </c>
      <c r="M39" s="56">
        <v>43954496.325902477</v>
      </c>
      <c r="N39" s="56">
        <v>42523287.055220582</v>
      </c>
      <c r="O39" s="56">
        <v>43090791.880220547</v>
      </c>
      <c r="P39" s="56">
        <v>41543008.34868174</v>
      </c>
      <c r="Q39" s="56">
        <v>45019057.862438604</v>
      </c>
      <c r="R39" s="56">
        <v>44372601.42019628</v>
      </c>
      <c r="S39" s="56">
        <v>0</v>
      </c>
      <c r="T39" s="56">
        <v>40960978.151360974</v>
      </c>
      <c r="U39" s="56">
        <v>90344699.241870731</v>
      </c>
      <c r="V39" s="56">
        <v>0</v>
      </c>
      <c r="W39" s="56">
        <v>0</v>
      </c>
      <c r="X39" s="56">
        <v>0</v>
      </c>
      <c r="Y39" s="56">
        <v>0</v>
      </c>
      <c r="Z39" s="56">
        <v>0</v>
      </c>
      <c r="AA39" s="56">
        <v>0</v>
      </c>
      <c r="AB39" s="56">
        <v>0</v>
      </c>
      <c r="AC39" s="56">
        <v>0</v>
      </c>
      <c r="AD39" s="56">
        <v>0</v>
      </c>
      <c r="AE39" s="56">
        <v>0</v>
      </c>
    </row>
    <row r="40" spans="1:31" x14ac:dyDescent="0.3">
      <c r="A40" s="22" t="s">
        <v>175</v>
      </c>
      <c r="B40" s="56">
        <f t="array" ref="B40:AE40">Aurora_Output!D8:AK8</f>
        <v>28840.81857740361</v>
      </c>
      <c r="C40" s="56">
        <v>28789.308361614763</v>
      </c>
      <c r="D40" s="209">
        <v>28788.061987160821</v>
      </c>
      <c r="E40" s="56">
        <v>28769.97093434236</v>
      </c>
      <c r="F40" s="56">
        <v>28786.065698194725</v>
      </c>
      <c r="G40" s="56">
        <v>28779.373262693116</v>
      </c>
      <c r="H40" s="56">
        <v>28757.721942018543</v>
      </c>
      <c r="I40" s="56">
        <v>28805.083223394118</v>
      </c>
      <c r="J40" s="56">
        <v>28869.114275030966</v>
      </c>
      <c r="K40" s="56">
        <v>28728.269618337101</v>
      </c>
      <c r="L40" s="56">
        <v>28755.510114041623</v>
      </c>
      <c r="M40" s="56">
        <v>28861.168297736207</v>
      </c>
      <c r="N40" s="56">
        <v>28762.754012968333</v>
      </c>
      <c r="O40" s="56">
        <v>28857.828079131432</v>
      </c>
      <c r="P40" s="56">
        <v>28835.872930682846</v>
      </c>
      <c r="Q40" s="56">
        <v>28865.410256945004</v>
      </c>
      <c r="R40" s="56">
        <v>28759.32250823942</v>
      </c>
      <c r="S40" s="56">
        <v>0</v>
      </c>
      <c r="T40" s="56">
        <v>28844.408951232501</v>
      </c>
      <c r="U40" s="56">
        <v>29624.023825426586</v>
      </c>
      <c r="V40" s="56">
        <v>0</v>
      </c>
      <c r="W40" s="56">
        <v>0</v>
      </c>
      <c r="X40" s="56">
        <v>0</v>
      </c>
      <c r="Y40" s="56">
        <v>0</v>
      </c>
      <c r="Z40" s="56">
        <v>0</v>
      </c>
      <c r="AA40" s="56">
        <v>0</v>
      </c>
      <c r="AB40" s="56">
        <v>0</v>
      </c>
      <c r="AC40" s="56">
        <v>0</v>
      </c>
      <c r="AD40" s="56">
        <v>0</v>
      </c>
      <c r="AE40" s="56">
        <v>0</v>
      </c>
    </row>
    <row r="41" spans="1:31" x14ac:dyDescent="0.3">
      <c r="A41" s="22" t="s">
        <v>177</v>
      </c>
      <c r="B41" s="56">
        <f t="array" ref="B41:AE41">Aurora_Output!D9:AK9</f>
        <v>11425.574821060523</v>
      </c>
      <c r="C41" s="56">
        <v>10926.103431843221</v>
      </c>
      <c r="D41" s="209">
        <v>10748.861633894965</v>
      </c>
      <c r="E41" s="56">
        <v>11136.076924441382</v>
      </c>
      <c r="F41" s="56">
        <v>11208.464695082977</v>
      </c>
      <c r="G41" s="56">
        <v>11089.966425802559</v>
      </c>
      <c r="H41" s="56">
        <v>11391.669268822297</v>
      </c>
      <c r="I41" s="56">
        <v>11285.431326186284</v>
      </c>
      <c r="J41" s="56">
        <v>11005.239313662052</v>
      </c>
      <c r="K41" s="56">
        <v>9629.5713372603059</v>
      </c>
      <c r="L41" s="56">
        <v>10640.407072126865</v>
      </c>
      <c r="M41" s="56">
        <v>10698.449973141775</v>
      </c>
      <c r="N41" s="56">
        <v>10662.588791197166</v>
      </c>
      <c r="O41" s="56">
        <v>10598.30336789228</v>
      </c>
      <c r="P41" s="56">
        <v>10307.452456608415</v>
      </c>
      <c r="Q41" s="56">
        <v>10847.638029536232</v>
      </c>
      <c r="R41" s="56">
        <v>10804.903426960111</v>
      </c>
      <c r="S41" s="56">
        <v>0</v>
      </c>
      <c r="T41" s="56">
        <v>11378.425156192854</v>
      </c>
      <c r="U41" s="56">
        <v>15954.693233430386</v>
      </c>
      <c r="V41" s="56">
        <v>0</v>
      </c>
      <c r="W41" s="56">
        <v>0</v>
      </c>
      <c r="X41" s="56">
        <v>0</v>
      </c>
      <c r="Y41" s="56">
        <v>0</v>
      </c>
      <c r="Z41" s="56">
        <v>0</v>
      </c>
      <c r="AA41" s="56">
        <v>0</v>
      </c>
      <c r="AB41" s="56">
        <v>0</v>
      </c>
      <c r="AC41" s="56">
        <v>0</v>
      </c>
      <c r="AD41" s="56">
        <v>0</v>
      </c>
      <c r="AE41" s="56">
        <v>0</v>
      </c>
    </row>
    <row r="42" spans="1:31" x14ac:dyDescent="0.3">
      <c r="A42" s="22" t="s">
        <v>179</v>
      </c>
      <c r="B42" s="56">
        <f t="array" ref="B42:AE42">Aurora_Output!D10:AK10</f>
        <v>9035.9538655191427</v>
      </c>
      <c r="C42" s="56">
        <v>8969.8310538541991</v>
      </c>
      <c r="D42" s="209">
        <v>8927.4275558178779</v>
      </c>
      <c r="E42" s="56">
        <v>8970.690514553804</v>
      </c>
      <c r="F42" s="56">
        <v>9021.9382161208196</v>
      </c>
      <c r="G42" s="56">
        <v>8968.2614240969997</v>
      </c>
      <c r="H42" s="56">
        <v>8933.2721634873888</v>
      </c>
      <c r="I42" s="56">
        <v>9004.5764743310865</v>
      </c>
      <c r="J42" s="56">
        <v>8988.6435710857622</v>
      </c>
      <c r="K42" s="56">
        <v>8754.6387716820464</v>
      </c>
      <c r="L42" s="56">
        <v>8908.3608533667866</v>
      </c>
      <c r="M42" s="56">
        <v>8959.5337518480374</v>
      </c>
      <c r="N42" s="56">
        <v>8916.4643633617088</v>
      </c>
      <c r="O42" s="56">
        <v>8949.9024199194973</v>
      </c>
      <c r="P42" s="56">
        <v>8872.7324627534254</v>
      </c>
      <c r="Q42" s="56">
        <v>8975.4986748670926</v>
      </c>
      <c r="R42" s="56">
        <v>8940.1590769666946</v>
      </c>
      <c r="S42" s="56">
        <v>0</v>
      </c>
      <c r="T42" s="56">
        <v>8917.9439178118482</v>
      </c>
      <c r="U42" s="56">
        <v>9907.5784248076379</v>
      </c>
      <c r="V42" s="56">
        <v>0</v>
      </c>
      <c r="W42" s="56">
        <v>0</v>
      </c>
      <c r="X42" s="56">
        <v>0</v>
      </c>
      <c r="Y42" s="56">
        <v>0</v>
      </c>
      <c r="Z42" s="56">
        <v>0</v>
      </c>
      <c r="AA42" s="56">
        <v>0</v>
      </c>
      <c r="AB42" s="56">
        <v>0</v>
      </c>
      <c r="AC42" s="56">
        <v>0</v>
      </c>
      <c r="AD42" s="56">
        <v>0</v>
      </c>
      <c r="AE42" s="56">
        <v>0</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31"/>
  <sheetViews>
    <sheetView workbookViewId="0"/>
  </sheetViews>
  <sheetFormatPr defaultRowHeight="14.4" x14ac:dyDescent="0.3"/>
  <cols>
    <col min="1" max="1" width="11.44140625" customWidth="1"/>
    <col min="2" max="2" width="52" bestFit="1" customWidth="1"/>
    <col min="3" max="3" width="22.6640625" bestFit="1" customWidth="1"/>
    <col min="4" max="4" width="31" bestFit="1" customWidth="1"/>
    <col min="5" max="5" width="27.44140625" bestFit="1" customWidth="1"/>
    <col min="7" max="8" width="15.33203125" bestFit="1" customWidth="1"/>
  </cols>
  <sheetData>
    <row r="1" spans="1:8" s="9" customFormat="1" ht="39.75" customHeight="1" x14ac:dyDescent="0.3">
      <c r="A1" s="29" t="s">
        <v>259</v>
      </c>
      <c r="B1" s="30" t="s">
        <v>265</v>
      </c>
      <c r="C1" s="30" t="s">
        <v>266</v>
      </c>
      <c r="D1" s="212" t="s">
        <v>267</v>
      </c>
      <c r="E1" s="176" t="s">
        <v>268</v>
      </c>
    </row>
    <row r="2" spans="1:8" x14ac:dyDescent="0.3">
      <c r="A2" s="171">
        <f t="array" ref="A2:A31">Aurora_Output!AM3:AM32</f>
        <v>1</v>
      </c>
      <c r="B2" s="172" t="str">
        <f t="array" ref="B2:B31">Aurora_Output!AN3:AN32</f>
        <v>Reference</v>
      </c>
      <c r="C2" s="173">
        <f t="array" ref="C2:C31">TRANSPOSE(Aurora_Output!D4:AK4)</f>
        <v>20846648.228178583</v>
      </c>
      <c r="D2" s="174">
        <f>C2*$E$2</f>
        <v>20846648228.178581</v>
      </c>
      <c r="E2" s="19">
        <v>1000</v>
      </c>
      <c r="H2" s="3"/>
    </row>
    <row r="3" spans="1:8" x14ac:dyDescent="0.3">
      <c r="A3" s="17">
        <v>2</v>
      </c>
      <c r="B3" s="170" t="str">
        <v>DSM Bundle 10</v>
      </c>
      <c r="C3" s="57">
        <v>21653798.997941848</v>
      </c>
      <c r="D3" s="70">
        <f t="shared" ref="D3:D31" si="0">C3*$E$2</f>
        <v>21653798997.941849</v>
      </c>
    </row>
    <row r="4" spans="1:8" x14ac:dyDescent="0.3">
      <c r="A4" s="17">
        <v>3</v>
      </c>
      <c r="B4" s="170" t="str">
        <v>DSM Bundle 7</v>
      </c>
      <c r="C4" s="57">
        <v>20859553.919278238</v>
      </c>
      <c r="D4" s="70">
        <f t="shared" si="0"/>
        <v>20859553919.278236</v>
      </c>
    </row>
    <row r="5" spans="1:8" x14ac:dyDescent="0.3">
      <c r="A5" s="17">
        <v>4</v>
      </c>
      <c r="B5" s="170" t="str">
        <v>DER Solar</v>
      </c>
      <c r="C5" s="57">
        <v>21077209.171618279</v>
      </c>
      <c r="D5" s="70">
        <f t="shared" si="0"/>
        <v>21077209171.618279</v>
      </c>
    </row>
    <row r="6" spans="1:8" x14ac:dyDescent="0.3">
      <c r="A6" s="17">
        <v>5</v>
      </c>
      <c r="B6" s="170" t="str">
        <v>DER Batteries</v>
      </c>
      <c r="C6" s="57">
        <v>20765250.096881624</v>
      </c>
      <c r="D6" s="70">
        <f t="shared" si="0"/>
        <v>20765250096.881626</v>
      </c>
    </row>
    <row r="7" spans="1:8" x14ac:dyDescent="0.3">
      <c r="A7" s="17">
        <v>6</v>
      </c>
      <c r="B7" s="170" t="str">
        <v>MT Overbuild, PHES + All East Wind</v>
      </c>
      <c r="C7" s="57">
        <v>20874577.560431115</v>
      </c>
      <c r="D7" s="70">
        <f t="shared" si="0"/>
        <v>20874577560.431114</v>
      </c>
    </row>
    <row r="8" spans="1:8" x14ac:dyDescent="0.3">
      <c r="A8" s="17">
        <v>7</v>
      </c>
      <c r="B8" s="170" t="str">
        <v>MT Overbuild, PHES + East, Central Wind</v>
      </c>
      <c r="C8" s="57">
        <v>21182535.580371194</v>
      </c>
      <c r="D8" s="70">
        <f t="shared" si="0"/>
        <v>21182535580.371193</v>
      </c>
    </row>
    <row r="9" spans="1:8" x14ac:dyDescent="0.3">
      <c r="A9" s="17">
        <v>8</v>
      </c>
      <c r="B9" s="170" t="str">
        <v>PNW PHES</v>
      </c>
      <c r="C9" s="57">
        <v>21282063.041680399</v>
      </c>
      <c r="D9" s="70">
        <f t="shared" si="0"/>
        <v>21282063041.680401</v>
      </c>
    </row>
    <row r="10" spans="1:8" x14ac:dyDescent="0.3">
      <c r="A10" s="17">
        <v>9</v>
      </c>
      <c r="B10" s="170" t="str">
        <v>Nuclear</v>
      </c>
      <c r="C10" s="57">
        <v>22319807.370332055</v>
      </c>
      <c r="D10" s="70">
        <f t="shared" si="0"/>
        <v>22319807370.332054</v>
      </c>
    </row>
    <row r="11" spans="1:8" x14ac:dyDescent="0.3">
      <c r="A11" s="17">
        <v>10</v>
      </c>
      <c r="B11" s="170" t="str">
        <v>Restricted Thermal</v>
      </c>
      <c r="C11" s="57">
        <v>21752056.091785364</v>
      </c>
      <c r="D11" s="70">
        <f t="shared" si="0"/>
        <v>21752056091.785362</v>
      </c>
    </row>
    <row r="12" spans="1:8" x14ac:dyDescent="0.3">
      <c r="A12" s="17" t="str">
        <v>11 A1</v>
      </c>
      <c r="B12" s="170" t="str">
        <v>Least Diversified w/ Nuclear</v>
      </c>
      <c r="C12" s="57">
        <v>22833307.055282857</v>
      </c>
      <c r="D12" s="70">
        <f t="shared" si="0"/>
        <v>22833307055.282856</v>
      </c>
    </row>
    <row r="13" spans="1:8" x14ac:dyDescent="0.3">
      <c r="A13" s="17" t="str">
        <v>11 A2</v>
      </c>
      <c r="B13" s="170" t="str">
        <v>Diversified + PNW PHES</v>
      </c>
      <c r="C13" s="57">
        <v>23246543.958925758</v>
      </c>
      <c r="D13" s="70">
        <f t="shared" si="0"/>
        <v>23246543958.925758</v>
      </c>
    </row>
    <row r="14" spans="1:8" x14ac:dyDescent="0.3">
      <c r="A14" s="17" t="str">
        <v>11 A3</v>
      </c>
      <c r="B14" s="170" t="str">
        <v>Diversified + DER Solar</v>
      </c>
      <c r="C14" s="57">
        <v>23270266.167553362</v>
      </c>
      <c r="D14" s="70">
        <f t="shared" si="0"/>
        <v>23270266167.55336</v>
      </c>
    </row>
    <row r="15" spans="1:8" x14ac:dyDescent="0.3">
      <c r="A15" s="17" t="str">
        <v>11 A4</v>
      </c>
      <c r="B15" s="170" t="str">
        <v>Diversified + DER Batteries</v>
      </c>
      <c r="C15" s="57">
        <v>23641991.348718196</v>
      </c>
      <c r="D15" s="70">
        <f t="shared" si="0"/>
        <v>23641991348.718197</v>
      </c>
    </row>
    <row r="16" spans="1:8" x14ac:dyDescent="0.3">
      <c r="A16" s="17" t="str">
        <v>11 A5</v>
      </c>
      <c r="B16" s="170" t="str">
        <v>Diversified + All DR Programs</v>
      </c>
      <c r="C16" s="57">
        <v>23671190.55722985</v>
      </c>
      <c r="D16" s="70">
        <f t="shared" si="0"/>
        <v>23671190557.229851</v>
      </c>
    </row>
    <row r="17" spans="1:4" x14ac:dyDescent="0.3">
      <c r="A17" s="17" t="str">
        <v>11 B1</v>
      </c>
      <c r="B17" s="170" t="str">
        <v>Least Diversified w/o Nuclear</v>
      </c>
      <c r="C17" s="57">
        <v>21086702.797645256</v>
      </c>
      <c r="D17" s="70">
        <f t="shared" si="0"/>
        <v>21086702797.645256</v>
      </c>
    </row>
    <row r="18" spans="1:4" x14ac:dyDescent="0.3">
      <c r="A18" s="17" t="str">
        <v>11 B2</v>
      </c>
      <c r="B18" s="170" t="str">
        <v>Most Diversified w/o Nuclear</v>
      </c>
      <c r="C18" s="57">
        <v>22511398.191198032</v>
      </c>
      <c r="D18" s="70">
        <f t="shared" si="0"/>
        <v>22511398191.198032</v>
      </c>
    </row>
    <row r="19" spans="1:4" x14ac:dyDescent="0.3">
      <c r="A19" s="17">
        <v>12</v>
      </c>
      <c r="B19" s="170" t="str">
        <v>100% Renewable/Non-Emitting by 2030</v>
      </c>
      <c r="C19" s="57">
        <v>0</v>
      </c>
      <c r="D19" s="70">
        <f t="shared" si="0"/>
        <v>0</v>
      </c>
    </row>
    <row r="20" spans="1:4" x14ac:dyDescent="0.3">
      <c r="A20" s="17">
        <v>13</v>
      </c>
      <c r="B20" s="170" t="str">
        <v>High Carbon Price</v>
      </c>
      <c r="C20" s="57">
        <v>20832597.793563798</v>
      </c>
      <c r="D20" s="70">
        <f t="shared" si="0"/>
        <v>20832597793.563797</v>
      </c>
    </row>
    <row r="21" spans="1:4" x14ac:dyDescent="0.3">
      <c r="A21" s="17">
        <v>14</v>
      </c>
      <c r="B21" s="170" t="str">
        <v>No H2 Fuel</v>
      </c>
      <c r="C21" s="163">
        <v>25074316.654892351</v>
      </c>
      <c r="D21" s="175">
        <f t="shared" si="0"/>
        <v>25074316654.892353</v>
      </c>
    </row>
    <row r="22" spans="1:4" x14ac:dyDescent="0.3">
      <c r="A22" s="17">
        <v>0</v>
      </c>
      <c r="B22" s="170">
        <v>0</v>
      </c>
      <c r="C22" s="163">
        <v>0</v>
      </c>
      <c r="D22" s="175">
        <f t="shared" si="0"/>
        <v>0</v>
      </c>
    </row>
    <row r="23" spans="1:4" x14ac:dyDescent="0.3">
      <c r="A23" s="17">
        <v>0</v>
      </c>
      <c r="B23" s="170">
        <v>0</v>
      </c>
      <c r="C23" s="163">
        <v>0</v>
      </c>
      <c r="D23" s="175">
        <f t="shared" si="0"/>
        <v>0</v>
      </c>
    </row>
    <row r="24" spans="1:4" x14ac:dyDescent="0.3">
      <c r="A24" s="23">
        <v>0</v>
      </c>
      <c r="B24" s="170">
        <v>0</v>
      </c>
      <c r="C24">
        <v>0</v>
      </c>
      <c r="D24" s="22">
        <f t="shared" si="0"/>
        <v>0</v>
      </c>
    </row>
    <row r="25" spans="1:4" x14ac:dyDescent="0.3">
      <c r="A25" s="23">
        <v>0</v>
      </c>
      <c r="B25" s="170">
        <v>0</v>
      </c>
      <c r="C25">
        <v>0</v>
      </c>
      <c r="D25" s="22">
        <f t="shared" si="0"/>
        <v>0</v>
      </c>
    </row>
    <row r="26" spans="1:4" x14ac:dyDescent="0.3">
      <c r="A26" s="23">
        <v>0</v>
      </c>
      <c r="B26" s="170">
        <v>0</v>
      </c>
      <c r="C26">
        <v>0</v>
      </c>
      <c r="D26" s="22">
        <f t="shared" si="0"/>
        <v>0</v>
      </c>
    </row>
    <row r="27" spans="1:4" x14ac:dyDescent="0.3">
      <c r="A27" s="23">
        <v>0</v>
      </c>
      <c r="B27" s="170">
        <v>0</v>
      </c>
      <c r="C27">
        <v>0</v>
      </c>
      <c r="D27" s="22">
        <f t="shared" si="0"/>
        <v>0</v>
      </c>
    </row>
    <row r="28" spans="1:4" x14ac:dyDescent="0.3">
      <c r="A28" s="23">
        <v>0</v>
      </c>
      <c r="B28" s="170">
        <v>0</v>
      </c>
      <c r="C28">
        <v>0</v>
      </c>
      <c r="D28" s="22">
        <f t="shared" si="0"/>
        <v>0</v>
      </c>
    </row>
    <row r="29" spans="1:4" x14ac:dyDescent="0.3">
      <c r="A29" s="23">
        <v>0</v>
      </c>
      <c r="B29" s="170">
        <v>0</v>
      </c>
      <c r="C29">
        <v>0</v>
      </c>
      <c r="D29" s="22">
        <f t="shared" si="0"/>
        <v>0</v>
      </c>
    </row>
    <row r="30" spans="1:4" x14ac:dyDescent="0.3">
      <c r="A30" s="23">
        <v>0</v>
      </c>
      <c r="B30" s="170">
        <v>0</v>
      </c>
      <c r="C30">
        <v>0</v>
      </c>
      <c r="D30" s="22">
        <f t="shared" si="0"/>
        <v>0</v>
      </c>
    </row>
    <row r="31" spans="1:4" x14ac:dyDescent="0.3">
      <c r="A31" s="23">
        <v>0</v>
      </c>
      <c r="B31" s="170">
        <v>0</v>
      </c>
      <c r="C31">
        <v>0</v>
      </c>
      <c r="D31" s="22">
        <f t="shared" si="0"/>
        <v>0</v>
      </c>
    </row>
  </sheetData>
  <pageMargins left="0.7" right="0.7" top="0.75" bottom="0.75" header="0.3" footer="0.3"/>
  <pageSetup orientation="portrait" horizontalDpi="360" verticalDpi="36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G79"/>
  <sheetViews>
    <sheetView workbookViewId="0"/>
  </sheetViews>
  <sheetFormatPr defaultColWidth="9.109375" defaultRowHeight="14.4" x14ac:dyDescent="0.3"/>
  <cols>
    <col min="1" max="1" width="34" customWidth="1"/>
    <col min="2" max="2" width="13.33203125" customWidth="1"/>
    <col min="3" max="3" width="8.6640625" customWidth="1"/>
    <col min="4" max="4" width="9.5546875" customWidth="1"/>
    <col min="5" max="25" width="8" customWidth="1"/>
    <col min="26" max="47" width="6.33203125" customWidth="1"/>
  </cols>
  <sheetData>
    <row r="1" spans="1:5" ht="48.75" customHeight="1" x14ac:dyDescent="0.3">
      <c r="A1" s="28" t="s">
        <v>259</v>
      </c>
      <c r="B1" s="14" t="s">
        <v>260</v>
      </c>
      <c r="C1" s="16" t="s">
        <v>269</v>
      </c>
      <c r="E1" s="27"/>
    </row>
    <row r="2" spans="1:5" x14ac:dyDescent="0.3">
      <c r="A2" s="23">
        <f t="array" ref="A2:B31">Aurora_Output!AM3:AN32</f>
        <v>1</v>
      </c>
      <c r="B2" t="str">
        <v>Reference</v>
      </c>
      <c r="C2" s="70">
        <f t="array" ref="C2:C31">TRANSPOSE(D34:AG34)</f>
        <v>45736</v>
      </c>
    </row>
    <row r="3" spans="1:5" x14ac:dyDescent="0.3">
      <c r="A3" s="23">
        <v>2</v>
      </c>
      <c r="B3" t="str">
        <v>DSM Bundle 10</v>
      </c>
      <c r="C3" s="70">
        <v>44753</v>
      </c>
    </row>
    <row r="4" spans="1:5" x14ac:dyDescent="0.3">
      <c r="A4" s="23">
        <v>3</v>
      </c>
      <c r="B4" t="str">
        <v>DSM Bundle 7</v>
      </c>
      <c r="C4" s="70">
        <v>48731</v>
      </c>
    </row>
    <row r="5" spans="1:5" x14ac:dyDescent="0.3">
      <c r="A5" s="23">
        <v>4</v>
      </c>
      <c r="B5" t="str">
        <v>DER Solar</v>
      </c>
      <c r="C5" s="70">
        <v>44882</v>
      </c>
    </row>
    <row r="6" spans="1:5" x14ac:dyDescent="0.3">
      <c r="A6" s="23">
        <v>5</v>
      </c>
      <c r="B6" t="str">
        <v>DER Batteries</v>
      </c>
      <c r="C6" s="70">
        <v>44765</v>
      </c>
    </row>
    <row r="7" spans="1:5" x14ac:dyDescent="0.3">
      <c r="A7" s="23">
        <v>6</v>
      </c>
      <c r="B7" t="str">
        <v>MT Overbuild, PHES + All East Wind</v>
      </c>
      <c r="C7" s="70">
        <v>37171</v>
      </c>
    </row>
    <row r="8" spans="1:5" x14ac:dyDescent="0.3">
      <c r="A8" s="23">
        <v>7</v>
      </c>
      <c r="B8" t="str">
        <v>MT Overbuild, PHES + East, Central Wind</v>
      </c>
      <c r="C8" s="70">
        <v>40929</v>
      </c>
    </row>
    <row r="9" spans="1:5" x14ac:dyDescent="0.3">
      <c r="A9" s="23">
        <v>8</v>
      </c>
      <c r="B9" t="str">
        <v>PNW PHES</v>
      </c>
      <c r="C9" s="70">
        <v>42198</v>
      </c>
    </row>
    <row r="10" spans="1:5" x14ac:dyDescent="0.3">
      <c r="A10" s="23">
        <v>9</v>
      </c>
      <c r="B10" t="str">
        <v>Nuclear</v>
      </c>
      <c r="C10" s="70">
        <v>45246</v>
      </c>
    </row>
    <row r="11" spans="1:5" x14ac:dyDescent="0.3">
      <c r="A11" s="23">
        <v>10</v>
      </c>
      <c r="B11" t="str">
        <v>Restricted Thermal</v>
      </c>
      <c r="C11" s="70">
        <v>94293</v>
      </c>
    </row>
    <row r="12" spans="1:5" x14ac:dyDescent="0.3">
      <c r="A12" s="23" t="str">
        <v>11 A1</v>
      </c>
      <c r="B12" t="str">
        <v>Least Diversified w/ Nuclear</v>
      </c>
      <c r="C12" s="70">
        <v>39862</v>
      </c>
    </row>
    <row r="13" spans="1:5" x14ac:dyDescent="0.3">
      <c r="A13" s="23" t="str">
        <v>11 A2</v>
      </c>
      <c r="B13" t="str">
        <v>Diversified + PNW PHES</v>
      </c>
      <c r="C13" s="70">
        <v>37941</v>
      </c>
    </row>
    <row r="14" spans="1:5" x14ac:dyDescent="0.3">
      <c r="A14" s="23" t="str">
        <v>11 A3</v>
      </c>
      <c r="B14" t="str">
        <v>Diversified + DER Solar</v>
      </c>
      <c r="C14" s="70">
        <v>42686</v>
      </c>
    </row>
    <row r="15" spans="1:5" x14ac:dyDescent="0.3">
      <c r="A15" s="23" t="str">
        <v>11 A4</v>
      </c>
      <c r="B15" t="str">
        <v>Diversified + DER Batteries</v>
      </c>
      <c r="C15" s="70">
        <v>39344</v>
      </c>
    </row>
    <row r="16" spans="1:5" x14ac:dyDescent="0.3">
      <c r="A16" s="23" t="str">
        <v>11 A5</v>
      </c>
      <c r="B16" t="str">
        <v>Diversified + All DR Programs</v>
      </c>
      <c r="C16" s="70">
        <v>40757</v>
      </c>
    </row>
    <row r="17" spans="1:3" x14ac:dyDescent="0.3">
      <c r="A17" s="23" t="str">
        <v>11 B1</v>
      </c>
      <c r="B17" t="str">
        <v>Least Diversified w/o Nuclear</v>
      </c>
      <c r="C17" s="70">
        <v>41096</v>
      </c>
    </row>
    <row r="18" spans="1:3" x14ac:dyDescent="0.3">
      <c r="A18" s="23" t="str">
        <v>11 B2</v>
      </c>
      <c r="B18" t="str">
        <v>Most Diversified w/o Nuclear</v>
      </c>
      <c r="C18" s="70">
        <v>43795</v>
      </c>
    </row>
    <row r="19" spans="1:3" x14ac:dyDescent="0.3">
      <c r="A19" s="23">
        <v>12</v>
      </c>
      <c r="B19" t="str">
        <v>100% Renewable/Non-Emitting by 2030</v>
      </c>
      <c r="C19" s="70">
        <v>0</v>
      </c>
    </row>
    <row r="20" spans="1:3" x14ac:dyDescent="0.3">
      <c r="A20" s="23">
        <v>13</v>
      </c>
      <c r="B20" t="str">
        <v>High Carbon Price</v>
      </c>
      <c r="C20" s="70">
        <v>41013</v>
      </c>
    </row>
    <row r="21" spans="1:3" x14ac:dyDescent="0.3">
      <c r="A21" s="23">
        <v>14</v>
      </c>
      <c r="B21" t="str">
        <v>No H2 Fuel</v>
      </c>
      <c r="C21" s="70">
        <v>34519</v>
      </c>
    </row>
    <row r="22" spans="1:3" x14ac:dyDescent="0.3">
      <c r="A22" s="23">
        <v>0</v>
      </c>
      <c r="B22">
        <v>0</v>
      </c>
      <c r="C22" s="70">
        <v>0</v>
      </c>
    </row>
    <row r="23" spans="1:3" x14ac:dyDescent="0.3">
      <c r="A23" s="23">
        <v>0</v>
      </c>
      <c r="B23">
        <v>0</v>
      </c>
      <c r="C23" s="70">
        <v>0</v>
      </c>
    </row>
    <row r="24" spans="1:3" x14ac:dyDescent="0.3">
      <c r="A24" s="23">
        <v>0</v>
      </c>
      <c r="B24">
        <v>0</v>
      </c>
      <c r="C24" s="70">
        <v>0</v>
      </c>
    </row>
    <row r="25" spans="1:3" x14ac:dyDescent="0.3">
      <c r="A25" s="23">
        <v>0</v>
      </c>
      <c r="B25">
        <v>0</v>
      </c>
      <c r="C25" s="70">
        <v>0</v>
      </c>
    </row>
    <row r="26" spans="1:3" x14ac:dyDescent="0.3">
      <c r="A26" s="23">
        <v>0</v>
      </c>
      <c r="B26">
        <v>0</v>
      </c>
      <c r="C26" s="70">
        <v>0</v>
      </c>
    </row>
    <row r="27" spans="1:3" x14ac:dyDescent="0.3">
      <c r="A27" s="23">
        <v>0</v>
      </c>
      <c r="B27">
        <v>0</v>
      </c>
      <c r="C27" s="70">
        <v>0</v>
      </c>
    </row>
    <row r="28" spans="1:3" x14ac:dyDescent="0.3">
      <c r="A28" s="23">
        <v>0</v>
      </c>
      <c r="B28">
        <v>0</v>
      </c>
      <c r="C28" s="70">
        <v>0</v>
      </c>
    </row>
    <row r="29" spans="1:3" x14ac:dyDescent="0.3">
      <c r="A29" s="23">
        <v>0</v>
      </c>
      <c r="B29">
        <v>0</v>
      </c>
      <c r="C29" s="70">
        <v>0</v>
      </c>
    </row>
    <row r="30" spans="1:3" x14ac:dyDescent="0.3">
      <c r="A30" s="23">
        <v>0</v>
      </c>
      <c r="B30">
        <v>0</v>
      </c>
      <c r="C30" s="70">
        <v>0</v>
      </c>
    </row>
    <row r="31" spans="1:3" x14ac:dyDescent="0.3">
      <c r="A31" s="169">
        <v>0</v>
      </c>
      <c r="B31" s="13">
        <v>0</v>
      </c>
      <c r="C31" s="71">
        <v>0</v>
      </c>
    </row>
    <row r="32" spans="1:3" x14ac:dyDescent="0.3">
      <c r="A32" s="23"/>
    </row>
    <row r="33" spans="1:33" x14ac:dyDescent="0.3">
      <c r="A33" s="25" t="s">
        <v>270</v>
      </c>
      <c r="B33" s="25" t="s">
        <v>271</v>
      </c>
      <c r="C33" s="20"/>
      <c r="D33" s="20" t="s">
        <v>272</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row>
    <row r="34" spans="1:33" x14ac:dyDescent="0.3">
      <c r="A34" s="18"/>
      <c r="B34" s="18"/>
      <c r="C34" s="2"/>
      <c r="D34" s="99">
        <f>ROUNDDOWN(SUM(D36:D68),0)</f>
        <v>45736</v>
      </c>
      <c r="E34" s="100">
        <f t="shared" ref="E34:W34" si="0">ROUNDDOWN(SUM(E36:E68),0)</f>
        <v>44753</v>
      </c>
      <c r="F34" s="100">
        <f t="shared" si="0"/>
        <v>48731</v>
      </c>
      <c r="G34" s="100">
        <f t="shared" si="0"/>
        <v>44882</v>
      </c>
      <c r="H34" s="100">
        <f t="shared" si="0"/>
        <v>44765</v>
      </c>
      <c r="I34" s="100">
        <f t="shared" si="0"/>
        <v>37171</v>
      </c>
      <c r="J34" s="100">
        <f t="shared" si="0"/>
        <v>40929</v>
      </c>
      <c r="K34" s="100">
        <f t="shared" si="0"/>
        <v>42198</v>
      </c>
      <c r="L34" s="100">
        <f t="shared" si="0"/>
        <v>45246</v>
      </c>
      <c r="M34" s="100">
        <f t="shared" si="0"/>
        <v>94293</v>
      </c>
      <c r="N34" s="100">
        <f t="shared" si="0"/>
        <v>39862</v>
      </c>
      <c r="O34" s="100">
        <f t="shared" si="0"/>
        <v>37941</v>
      </c>
      <c r="P34" s="100">
        <f t="shared" si="0"/>
        <v>42686</v>
      </c>
      <c r="Q34" s="100">
        <f t="shared" si="0"/>
        <v>39344</v>
      </c>
      <c r="R34" s="100">
        <f t="shared" si="0"/>
        <v>40757</v>
      </c>
      <c r="S34" s="100">
        <f>ROUNDDOWN(SUM(S36:S68),0)</f>
        <v>41096</v>
      </c>
      <c r="T34" s="100">
        <f t="shared" si="0"/>
        <v>43795</v>
      </c>
      <c r="U34" s="100">
        <f t="shared" si="0"/>
        <v>0</v>
      </c>
      <c r="V34" s="100">
        <f t="shared" si="0"/>
        <v>41013</v>
      </c>
      <c r="W34" s="100">
        <f t="shared" si="0"/>
        <v>34519</v>
      </c>
      <c r="X34" s="100"/>
      <c r="Y34" s="100"/>
    </row>
    <row r="35" spans="1:33" s="4" customFormat="1" x14ac:dyDescent="0.3">
      <c r="A35" s="24"/>
      <c r="B35" s="26"/>
      <c r="C35" s="179"/>
      <c r="D35" s="76">
        <f t="array" ref="D35:AG35">Aurora_Output!D3:AK3</f>
        <v>1</v>
      </c>
      <c r="E35" s="77">
        <v>2</v>
      </c>
      <c r="F35" s="77">
        <v>3</v>
      </c>
      <c r="G35" s="77">
        <v>4</v>
      </c>
      <c r="H35" s="77">
        <v>5</v>
      </c>
      <c r="I35" s="77">
        <v>6</v>
      </c>
      <c r="J35" s="77">
        <v>7</v>
      </c>
      <c r="K35" s="77">
        <v>8</v>
      </c>
      <c r="L35" s="77">
        <v>9</v>
      </c>
      <c r="M35" s="77">
        <v>10</v>
      </c>
      <c r="N35" s="77" t="str">
        <v>11 A1</v>
      </c>
      <c r="O35" s="77" t="str">
        <v>11 A2</v>
      </c>
      <c r="P35" s="77" t="str">
        <v>11 A3</v>
      </c>
      <c r="Q35" s="77" t="str">
        <v>11 A4</v>
      </c>
      <c r="R35" s="77" t="str">
        <v>11 A5</v>
      </c>
      <c r="S35" s="77" t="str">
        <v>11 B1</v>
      </c>
      <c r="T35" s="77" t="str">
        <v>11 B2</v>
      </c>
      <c r="U35" s="77">
        <v>12</v>
      </c>
      <c r="V35" s="77">
        <v>13</v>
      </c>
      <c r="W35" s="77">
        <v>14</v>
      </c>
      <c r="X35" s="77">
        <v>0</v>
      </c>
      <c r="Y35" s="77">
        <v>0</v>
      </c>
      <c r="Z35" s="77">
        <v>0</v>
      </c>
      <c r="AA35" s="77">
        <v>0</v>
      </c>
      <c r="AB35" s="77">
        <v>0</v>
      </c>
      <c r="AC35" s="77">
        <v>0</v>
      </c>
      <c r="AD35" s="77">
        <v>0</v>
      </c>
      <c r="AE35" s="77">
        <v>0</v>
      </c>
      <c r="AF35" s="77">
        <v>0</v>
      </c>
      <c r="AG35" s="77">
        <v>0</v>
      </c>
    </row>
    <row r="36" spans="1:33" x14ac:dyDescent="0.3">
      <c r="A36" s="54" t="s">
        <v>181</v>
      </c>
      <c r="B36" s="178">
        <f>Jobs_Per_MW!O15</f>
        <v>0.1997271973206857</v>
      </c>
      <c r="C36" s="180"/>
      <c r="D36" s="167">
        <f>$B36*Aurora_Output!D11</f>
        <v>0</v>
      </c>
      <c r="E36" s="86">
        <f>$B36*Aurora_Output!E11</f>
        <v>0</v>
      </c>
      <c r="F36" s="86">
        <f>$B36*Aurora_Output!F11</f>
        <v>0</v>
      </c>
      <c r="G36" s="86">
        <f>$B36*Aurora_Output!G11</f>
        <v>0</v>
      </c>
      <c r="H36" s="86">
        <f>$B36*Aurora_Output!H11</f>
        <v>0</v>
      </c>
      <c r="I36" s="86">
        <f>$B36*Aurora_Output!I11</f>
        <v>0</v>
      </c>
      <c r="J36" s="86">
        <f>$B36*Aurora_Output!J11</f>
        <v>0</v>
      </c>
      <c r="K36" s="86">
        <f>$B36*Aurora_Output!K11</f>
        <v>0</v>
      </c>
      <c r="L36" s="86">
        <f>$B36*Aurora_Output!L11</f>
        <v>0</v>
      </c>
      <c r="M36" s="86">
        <f>$B36*Aurora_Output!M11</f>
        <v>0</v>
      </c>
      <c r="N36" s="86">
        <f>$B36*Aurora_Output!N11</f>
        <v>0</v>
      </c>
      <c r="O36" s="86">
        <f>$B36*Aurora_Output!O11</f>
        <v>0</v>
      </c>
      <c r="P36" s="86">
        <f>$B36*Aurora_Output!P11</f>
        <v>0</v>
      </c>
      <c r="Q36" s="86">
        <f>$B36*Aurora_Output!Q11</f>
        <v>0</v>
      </c>
      <c r="R36" s="86">
        <f>$B36*Aurora_Output!R11</f>
        <v>0</v>
      </c>
      <c r="S36" s="86">
        <f>$B36*Aurora_Output!S11</f>
        <v>0</v>
      </c>
      <c r="T36" s="86">
        <f>$B36*Aurora_Output!T11</f>
        <v>0</v>
      </c>
      <c r="U36" s="86">
        <f>$B36*Aurora_Output!U11</f>
        <v>0</v>
      </c>
      <c r="V36" s="86">
        <f>$B36*Aurora_Output!V11</f>
        <v>0</v>
      </c>
      <c r="W36" s="86">
        <f>$B36*Aurora_Output!W11</f>
        <v>0</v>
      </c>
      <c r="X36" s="12"/>
      <c r="Y36" s="12"/>
    </row>
    <row r="37" spans="1:33" x14ac:dyDescent="0.3">
      <c r="A37" s="55" t="s">
        <v>183</v>
      </c>
      <c r="B37" s="178">
        <f>Jobs_Per_MW!O16</f>
        <v>0.1997271973206857</v>
      </c>
      <c r="C37" s="180"/>
      <c r="D37" s="167">
        <f>$B37*Aurora_Output!D12</f>
        <v>0</v>
      </c>
      <c r="E37" s="86">
        <f>$B37*Aurora_Output!E12</f>
        <v>0</v>
      </c>
      <c r="F37" s="86">
        <f>$B37*Aurora_Output!F12</f>
        <v>0</v>
      </c>
      <c r="G37" s="86">
        <f>$B37*Aurora_Output!G12</f>
        <v>0</v>
      </c>
      <c r="H37" s="86">
        <f>$B37*Aurora_Output!H12</f>
        <v>0</v>
      </c>
      <c r="I37" s="86">
        <f>$B37*Aurora_Output!I12</f>
        <v>0</v>
      </c>
      <c r="J37" s="86">
        <f>$B37*Aurora_Output!J12</f>
        <v>0</v>
      </c>
      <c r="K37" s="86">
        <f>$B37*Aurora_Output!K12</f>
        <v>0</v>
      </c>
      <c r="L37" s="86">
        <f>$B37*Aurora_Output!L12</f>
        <v>0</v>
      </c>
      <c r="M37" s="86">
        <f>$B37*Aurora_Output!M12</f>
        <v>0</v>
      </c>
      <c r="N37" s="86">
        <f>$B37*Aurora_Output!N12</f>
        <v>0</v>
      </c>
      <c r="O37" s="86">
        <f>$B37*Aurora_Output!O12</f>
        <v>0</v>
      </c>
      <c r="P37" s="86">
        <f>$B37*Aurora_Output!P12</f>
        <v>0</v>
      </c>
      <c r="Q37" s="86">
        <f>$B37*Aurora_Output!Q12</f>
        <v>0</v>
      </c>
      <c r="R37" s="86">
        <f>$B37*Aurora_Output!R12</f>
        <v>0</v>
      </c>
      <c r="S37" s="86">
        <f>$B37*Aurora_Output!S12</f>
        <v>0</v>
      </c>
      <c r="T37" s="86">
        <f>$B37*Aurora_Output!T12</f>
        <v>0</v>
      </c>
      <c r="U37" s="86">
        <f>$B37*Aurora_Output!U12</f>
        <v>0</v>
      </c>
      <c r="V37" s="86">
        <f>$B37*Aurora_Output!V12</f>
        <v>0</v>
      </c>
      <c r="W37" s="86">
        <f>$B37*Aurora_Output!W12</f>
        <v>0</v>
      </c>
      <c r="X37" s="12"/>
      <c r="Y37" s="12"/>
    </row>
    <row r="38" spans="1:33" x14ac:dyDescent="0.3">
      <c r="A38" s="55" t="s">
        <v>184</v>
      </c>
      <c r="B38" s="178">
        <f>Jobs_Per_MW!O17</f>
        <v>0.1997271973206857</v>
      </c>
      <c r="C38" s="180"/>
      <c r="D38" s="167">
        <f>$B38*Aurora_Output!D13</f>
        <v>0</v>
      </c>
      <c r="E38" s="86">
        <f>$B38*Aurora_Output!E13</f>
        <v>0</v>
      </c>
      <c r="F38" s="86">
        <f>$B38*Aurora_Output!F13</f>
        <v>0</v>
      </c>
      <c r="G38" s="86">
        <f>$B38*Aurora_Output!G13</f>
        <v>0</v>
      </c>
      <c r="H38" s="86">
        <f>$B38*Aurora_Output!H13</f>
        <v>0</v>
      </c>
      <c r="I38" s="86">
        <f>$B38*Aurora_Output!I13</f>
        <v>0</v>
      </c>
      <c r="J38" s="86">
        <f>$B38*Aurora_Output!J13</f>
        <v>3.6550075585887902</v>
      </c>
      <c r="K38" s="86">
        <f>$B38*Aurora_Output!K13</f>
        <v>0</v>
      </c>
      <c r="L38" s="86">
        <f>$B38*Aurora_Output!L13</f>
        <v>0</v>
      </c>
      <c r="M38" s="86">
        <f>$B38*Aurora_Output!M13</f>
        <v>0</v>
      </c>
      <c r="N38" s="86">
        <f>$B38*Aurora_Output!N13</f>
        <v>0</v>
      </c>
      <c r="O38" s="86">
        <f>$B38*Aurora_Output!O13</f>
        <v>0</v>
      </c>
      <c r="P38" s="86">
        <f>$B38*Aurora_Output!P13</f>
        <v>0</v>
      </c>
      <c r="Q38" s="86">
        <f>$B38*Aurora_Output!Q13</f>
        <v>0</v>
      </c>
      <c r="R38" s="86">
        <f>$B38*Aurora_Output!R13</f>
        <v>0</v>
      </c>
      <c r="S38" s="86">
        <f>$B38*Aurora_Output!S13</f>
        <v>0</v>
      </c>
      <c r="T38" s="86">
        <f>$B38*Aurora_Output!T13</f>
        <v>0</v>
      </c>
      <c r="U38" s="86">
        <f>$B38*Aurora_Output!U13</f>
        <v>0</v>
      </c>
      <c r="V38" s="86">
        <f>$B38*Aurora_Output!V13</f>
        <v>3.6550075585887902</v>
      </c>
      <c r="W38" s="86">
        <f>$B38*Aurora_Output!W13</f>
        <v>7.3100151171775805</v>
      </c>
      <c r="X38" s="12"/>
      <c r="Y38" s="12"/>
    </row>
    <row r="39" spans="1:33" x14ac:dyDescent="0.3">
      <c r="A39" s="55" t="s">
        <v>185</v>
      </c>
      <c r="B39" s="178">
        <f>Jobs_Per_MW!O18</f>
        <v>0.1997271973206857</v>
      </c>
      <c r="C39" s="180"/>
      <c r="D39" s="167">
        <f>$B39*Aurora_Output!D14</f>
        <v>142.00603729500753</v>
      </c>
      <c r="E39" s="86">
        <f>$B39*Aurora_Output!E14</f>
        <v>47.335345765002508</v>
      </c>
      <c r="F39" s="86">
        <f>$B39*Aurora_Output!F14</f>
        <v>47.335345765002508</v>
      </c>
      <c r="G39" s="86">
        <f>$B39*Aurora_Output!G14</f>
        <v>47.335345765002508</v>
      </c>
      <c r="H39" s="86">
        <f>$B39*Aurora_Output!H14</f>
        <v>142.00603729500753</v>
      </c>
      <c r="I39" s="86">
        <f>$B39*Aurora_Output!I14</f>
        <v>94.670691530005016</v>
      </c>
      <c r="J39" s="86">
        <f>$B39*Aurora_Output!J14</f>
        <v>47.335345765002508</v>
      </c>
      <c r="K39" s="86">
        <f>$B39*Aurora_Output!K14</f>
        <v>47.335345765002508</v>
      </c>
      <c r="L39" s="86">
        <f>$B39*Aurora_Output!L14</f>
        <v>94.670691530005016</v>
      </c>
      <c r="M39" s="86">
        <f>$B39*Aurora_Output!M14</f>
        <v>189.34138306001003</v>
      </c>
      <c r="N39" s="86">
        <f>$B39*Aurora_Output!N14</f>
        <v>94.670691530005016</v>
      </c>
      <c r="O39" s="86">
        <f>$B39*Aurora_Output!O14</f>
        <v>142.00603729500753</v>
      </c>
      <c r="P39" s="86">
        <f>$B39*Aurora_Output!P14</f>
        <v>142.00603729500753</v>
      </c>
      <c r="Q39" s="86">
        <f>$B39*Aurora_Output!Q14</f>
        <v>47.335345765002508</v>
      </c>
      <c r="R39" s="86">
        <f>$B39*Aurora_Output!R14</f>
        <v>142.00603729500753</v>
      </c>
      <c r="S39" s="86">
        <f>$B39*Aurora_Output!S14</f>
        <v>94.670691530005016</v>
      </c>
      <c r="T39" s="86">
        <f>$B39*Aurora_Output!T14</f>
        <v>47.335345765002508</v>
      </c>
      <c r="U39" s="86">
        <f>$B39*Aurora_Output!U14</f>
        <v>0</v>
      </c>
      <c r="V39" s="86">
        <f>$B39*Aurora_Output!V14</f>
        <v>94.670691530005016</v>
      </c>
      <c r="W39" s="86">
        <f>$B39*Aurora_Output!W14</f>
        <v>0</v>
      </c>
      <c r="X39" s="12"/>
      <c r="Y39" s="12"/>
    </row>
    <row r="40" spans="1:33" x14ac:dyDescent="0.3">
      <c r="A40" s="55" t="s">
        <v>186</v>
      </c>
      <c r="B40" s="178">
        <f>Jobs_Per_MW!O19</f>
        <v>0.1997271973206857</v>
      </c>
      <c r="C40" s="180"/>
      <c r="D40" s="167">
        <f>$B40*Aurora_Output!D15</f>
        <v>73.100151171775806</v>
      </c>
      <c r="E40" s="86">
        <f>$B40*Aurora_Output!E15</f>
        <v>149.85530990214039</v>
      </c>
      <c r="F40" s="86">
        <f>$B40*Aurora_Output!F15</f>
        <v>186.40538548802829</v>
      </c>
      <c r="G40" s="86">
        <f>$B40*Aurora_Output!G15</f>
        <v>131.58027210919644</v>
      </c>
      <c r="H40" s="86">
        <f>$B40*Aurora_Output!H15</f>
        <v>84.065173847542169</v>
      </c>
      <c r="I40" s="86">
        <f>$B40*Aurora_Output!I15</f>
        <v>131.58027210919644</v>
      </c>
      <c r="J40" s="86">
        <f>$B40*Aurora_Output!J15</f>
        <v>149.85530990214039</v>
      </c>
      <c r="K40" s="86">
        <f>$B40*Aurora_Output!K15</f>
        <v>105.99521919907492</v>
      </c>
      <c r="L40" s="86">
        <f>$B40*Aurora_Output!L15</f>
        <v>84.065173847542169</v>
      </c>
      <c r="M40" s="86">
        <f>$B40*Aurora_Output!M15</f>
        <v>76.755158730364585</v>
      </c>
      <c r="N40" s="86">
        <f>$B40*Aurora_Output!N15</f>
        <v>142.54529478496281</v>
      </c>
      <c r="O40" s="86">
        <f>$B40*Aurora_Output!O15</f>
        <v>98.685204081897325</v>
      </c>
      <c r="P40" s="86">
        <f>$B40*Aurora_Output!P15</f>
        <v>142.54529478496281</v>
      </c>
      <c r="Q40" s="86">
        <f>$B40*Aurora_Output!Q15</f>
        <v>113.30523431625249</v>
      </c>
      <c r="R40" s="86">
        <f>$B40*Aurora_Output!R15</f>
        <v>95.030196523308533</v>
      </c>
      <c r="S40" s="86">
        <f>$B40*Aurora_Output!S15</f>
        <v>116.96024187484129</v>
      </c>
      <c r="T40" s="86">
        <f>$B40*Aurora_Output!T15</f>
        <v>127.92526455060765</v>
      </c>
      <c r="U40" s="86">
        <f>$B40*Aurora_Output!U15</f>
        <v>0</v>
      </c>
      <c r="V40" s="86">
        <f>$B40*Aurora_Output!V15</f>
        <v>113.30523431625249</v>
      </c>
      <c r="W40" s="86">
        <f>$B40*Aurora_Output!W15</f>
        <v>0</v>
      </c>
      <c r="X40" s="12"/>
      <c r="Y40" s="12"/>
    </row>
    <row r="41" spans="1:33" x14ac:dyDescent="0.3">
      <c r="A41" s="55" t="s">
        <v>187</v>
      </c>
      <c r="B41" s="178">
        <f>Jobs_Per_MW!O20</f>
        <v>0.1997271973206857</v>
      </c>
      <c r="C41" s="180"/>
      <c r="D41" s="167">
        <f>$B41*Aurora_Output!D16</f>
        <v>142.00603729500753</v>
      </c>
      <c r="E41" s="86">
        <f>$B41*Aurora_Output!E16</f>
        <v>142.00603729500753</v>
      </c>
      <c r="F41" s="86">
        <f>$B41*Aurora_Output!F16</f>
        <v>94.670691530005016</v>
      </c>
      <c r="G41" s="86">
        <f>$B41*Aurora_Output!G16</f>
        <v>189.34138306001003</v>
      </c>
      <c r="H41" s="86">
        <f>$B41*Aurora_Output!H16</f>
        <v>142.00603729500753</v>
      </c>
      <c r="I41" s="86">
        <f>$B41*Aurora_Output!I16</f>
        <v>142.00603729500753</v>
      </c>
      <c r="J41" s="86">
        <f>$B41*Aurora_Output!J16</f>
        <v>142.00603729500753</v>
      </c>
      <c r="K41" s="86">
        <f>$B41*Aurora_Output!K16</f>
        <v>189.34138306001003</v>
      </c>
      <c r="L41" s="86">
        <f>$B41*Aurora_Output!L16</f>
        <v>142.00603729500753</v>
      </c>
      <c r="M41" s="86">
        <f>$B41*Aurora_Output!M16</f>
        <v>47.335345765002508</v>
      </c>
      <c r="N41" s="86">
        <f>$B41*Aurora_Output!N16</f>
        <v>94.670691530005016</v>
      </c>
      <c r="O41" s="86">
        <f>$B41*Aurora_Output!O16</f>
        <v>94.670691530005016</v>
      </c>
      <c r="P41" s="86">
        <f>$B41*Aurora_Output!P16</f>
        <v>47.335345765002508</v>
      </c>
      <c r="Q41" s="86">
        <f>$B41*Aurora_Output!Q16</f>
        <v>142.00603729500753</v>
      </c>
      <c r="R41" s="86">
        <f>$B41*Aurora_Output!R16</f>
        <v>94.670691530005016</v>
      </c>
      <c r="S41" s="86">
        <f>$B41*Aurora_Output!S16</f>
        <v>142.00603729500753</v>
      </c>
      <c r="T41" s="86">
        <f>$B41*Aurora_Output!T16</f>
        <v>142.00603729500753</v>
      </c>
      <c r="U41" s="86">
        <f>$B41*Aurora_Output!U16</f>
        <v>0</v>
      </c>
      <c r="V41" s="86">
        <f>$B41*Aurora_Output!V16</f>
        <v>142.00603729500753</v>
      </c>
      <c r="W41" s="86">
        <f>$B41*Aurora_Output!W16</f>
        <v>710.03018647503768</v>
      </c>
      <c r="X41" s="12"/>
      <c r="Y41" s="12"/>
    </row>
    <row r="42" spans="1:33" x14ac:dyDescent="0.3">
      <c r="A42" s="55" t="s">
        <v>188</v>
      </c>
      <c r="B42" s="178">
        <f>Jobs_Per_MW!O21</f>
        <v>0.90072289301123487</v>
      </c>
      <c r="C42" s="180"/>
      <c r="D42" s="167">
        <f>$B42*Aurora_Output!D17</f>
        <v>1531.2289181190993</v>
      </c>
      <c r="E42" s="86">
        <f>$B42*Aurora_Output!E17</f>
        <v>1080.8674716134819</v>
      </c>
      <c r="F42" s="86">
        <f>$B42*Aurora_Output!F17</f>
        <v>990.79518231235841</v>
      </c>
      <c r="G42" s="86">
        <f>$B42*Aurora_Output!G17</f>
        <v>1261.0120502157288</v>
      </c>
      <c r="H42" s="86">
        <f>$B42*Aurora_Output!H17</f>
        <v>1170.9397609146054</v>
      </c>
      <c r="I42" s="86">
        <f>$B42*Aurora_Output!I17</f>
        <v>1351.0843395168522</v>
      </c>
      <c r="J42" s="86">
        <f>$B42*Aurora_Output!J17</f>
        <v>900.72289301123487</v>
      </c>
      <c r="K42" s="86">
        <f>$B42*Aurora_Output!K17</f>
        <v>810.65060371011134</v>
      </c>
      <c r="L42" s="86">
        <f>$B42*Aurora_Output!L17</f>
        <v>1170.9397609146054</v>
      </c>
      <c r="M42" s="86">
        <f>$B42*Aurora_Output!M17</f>
        <v>1261.0120502157288</v>
      </c>
      <c r="N42" s="86">
        <f>$B42*Aurora_Output!N17</f>
        <v>1170.9397609146054</v>
      </c>
      <c r="O42" s="86">
        <f>$B42*Aurora_Output!O17</f>
        <v>1351.0843395168522</v>
      </c>
      <c r="P42" s="86">
        <f>$B42*Aurora_Output!P17</f>
        <v>1261.0120502157288</v>
      </c>
      <c r="Q42" s="86">
        <f>$B42*Aurora_Output!Q17</f>
        <v>990.79518231235841</v>
      </c>
      <c r="R42" s="86">
        <f>$B42*Aurora_Output!R17</f>
        <v>1170.9397609146054</v>
      </c>
      <c r="S42" s="86">
        <f>$B42*Aurora_Output!S17</f>
        <v>1080.8674716134819</v>
      </c>
      <c r="T42" s="86">
        <f>$B42*Aurora_Output!T17</f>
        <v>1170.9397609146054</v>
      </c>
      <c r="U42" s="86">
        <f>$B42*Aurora_Output!U17</f>
        <v>0</v>
      </c>
      <c r="V42" s="86">
        <f>$B42*Aurora_Output!V17</f>
        <v>900.72289301123487</v>
      </c>
      <c r="W42" s="86">
        <f>$B42*Aurora_Output!W17</f>
        <v>0</v>
      </c>
      <c r="X42" s="12"/>
      <c r="Y42" s="12"/>
    </row>
    <row r="43" spans="1:33" x14ac:dyDescent="0.3">
      <c r="A43" s="55" t="s">
        <v>189</v>
      </c>
      <c r="B43" s="178">
        <f>Jobs_Per_MW!O22</f>
        <v>0.90072289301123487</v>
      </c>
      <c r="C43" s="180"/>
      <c r="D43" s="167">
        <f>$B43*Aurora_Output!D18</f>
        <v>450.36144650561744</v>
      </c>
      <c r="E43" s="86">
        <f>$B43*Aurora_Output!E18</f>
        <v>270.21686790337048</v>
      </c>
      <c r="F43" s="86">
        <f>$B43*Aurora_Output!F18</f>
        <v>540.43373580674097</v>
      </c>
      <c r="G43" s="86">
        <f>$B43*Aurora_Output!G18</f>
        <v>540.43373580674097</v>
      </c>
      <c r="H43" s="86">
        <f>$B43*Aurora_Output!H18</f>
        <v>360.28915720449396</v>
      </c>
      <c r="I43" s="86">
        <f>$B43*Aurora_Output!I18</f>
        <v>180.14457860224698</v>
      </c>
      <c r="J43" s="86">
        <f>$B43*Aurora_Output!J18</f>
        <v>360.28915720449396</v>
      </c>
      <c r="K43" s="86">
        <f>$B43*Aurora_Output!K18</f>
        <v>270.21686790337048</v>
      </c>
      <c r="L43" s="86">
        <f>$B43*Aurora_Output!L18</f>
        <v>270.21686790337048</v>
      </c>
      <c r="M43" s="86">
        <f>$B43*Aurora_Output!M18</f>
        <v>180.14457860224698</v>
      </c>
      <c r="N43" s="86">
        <f>$B43*Aurora_Output!N18</f>
        <v>0</v>
      </c>
      <c r="O43" s="86">
        <f>$B43*Aurora_Output!O18</f>
        <v>90.07228930112349</v>
      </c>
      <c r="P43" s="86">
        <f>$B43*Aurora_Output!P18</f>
        <v>360.28915720449396</v>
      </c>
      <c r="Q43" s="86">
        <f>$B43*Aurora_Output!Q18</f>
        <v>90.07228930112349</v>
      </c>
      <c r="R43" s="86">
        <f>$B43*Aurora_Output!R18</f>
        <v>180.14457860224698</v>
      </c>
      <c r="S43" s="86">
        <f>$B43*Aurora_Output!S18</f>
        <v>270.21686790337048</v>
      </c>
      <c r="T43" s="86">
        <f>$B43*Aurora_Output!T18</f>
        <v>90.07228930112349</v>
      </c>
      <c r="U43" s="86">
        <f>$B43*Aurora_Output!U18</f>
        <v>0</v>
      </c>
      <c r="V43" s="86">
        <f>$B43*Aurora_Output!V18</f>
        <v>360.28915720449396</v>
      </c>
      <c r="W43" s="86">
        <f>$B43*Aurora_Output!W18</f>
        <v>180.14457860224698</v>
      </c>
      <c r="X43" s="12"/>
      <c r="Y43" s="12"/>
    </row>
    <row r="44" spans="1:33" x14ac:dyDescent="0.3">
      <c r="A44" s="55" t="s">
        <v>190</v>
      </c>
      <c r="B44" s="178">
        <f>Jobs_Per_MW!O23</f>
        <v>0.90072289301123487</v>
      </c>
      <c r="C44" s="180"/>
      <c r="D44" s="167">
        <f>$B44*Aurora_Output!D19</f>
        <v>855.68674836067316</v>
      </c>
      <c r="E44" s="86">
        <f>$B44*Aurora_Output!E19</f>
        <v>1125.9036162640436</v>
      </c>
      <c r="F44" s="86">
        <f>$B44*Aurora_Output!F19</f>
        <v>945.75903766179658</v>
      </c>
      <c r="G44" s="86">
        <f>$B44*Aurora_Output!G19</f>
        <v>1125.9036162640436</v>
      </c>
      <c r="H44" s="86">
        <f>$B44*Aurora_Output!H19</f>
        <v>1125.9036162640436</v>
      </c>
      <c r="I44" s="86">
        <f>$B44*Aurora_Output!I19</f>
        <v>945.75903766179658</v>
      </c>
      <c r="J44" s="86">
        <f>$B44*Aurora_Output!J19</f>
        <v>1215.9759055651671</v>
      </c>
      <c r="K44" s="86">
        <f>$B44*Aurora_Output!K19</f>
        <v>1486.1927734685376</v>
      </c>
      <c r="L44" s="86">
        <f>$B44*Aurora_Output!L19</f>
        <v>1215.9759055651671</v>
      </c>
      <c r="M44" s="86">
        <f>$B44*Aurora_Output!M19</f>
        <v>1306.0481948662905</v>
      </c>
      <c r="N44" s="86">
        <f>$B44*Aurora_Output!N19</f>
        <v>1576.265062769661</v>
      </c>
      <c r="O44" s="86">
        <f>$B44*Aurora_Output!O19</f>
        <v>1215.9759055651671</v>
      </c>
      <c r="P44" s="86">
        <f>$B44*Aurora_Output!P19</f>
        <v>1035.83132696292</v>
      </c>
      <c r="Q44" s="86">
        <f>$B44*Aurora_Output!Q19</f>
        <v>1396.1204841674141</v>
      </c>
      <c r="R44" s="86">
        <f>$B44*Aurora_Output!R19</f>
        <v>1396.1204841674141</v>
      </c>
      <c r="S44" s="86">
        <f>$B44*Aurora_Output!S19</f>
        <v>1125.9036162640436</v>
      </c>
      <c r="T44" s="86">
        <f>$B44*Aurora_Output!T19</f>
        <v>1486.1927734685376</v>
      </c>
      <c r="U44" s="86">
        <f>$B44*Aurora_Output!U19</f>
        <v>0</v>
      </c>
      <c r="V44" s="86">
        <f>$B44*Aurora_Output!V19</f>
        <v>1576.265062769661</v>
      </c>
      <c r="W44" s="86">
        <f>$B44*Aurora_Output!W19</f>
        <v>585.46988045730268</v>
      </c>
      <c r="X44" s="12"/>
      <c r="Y44" s="12"/>
    </row>
    <row r="45" spans="1:33" x14ac:dyDescent="0.3">
      <c r="A45" s="55" t="s">
        <v>191</v>
      </c>
      <c r="B45" s="178">
        <f>Jobs_Per_MW!O24</f>
        <v>0.90072289301123487</v>
      </c>
      <c r="C45" s="180"/>
      <c r="D45" s="167">
        <f>$B45*Aurora_Output!D20</f>
        <v>0</v>
      </c>
      <c r="E45" s="86">
        <f>$B45*Aurora_Output!E20</f>
        <v>0</v>
      </c>
      <c r="F45" s="86">
        <f>$B45*Aurora_Output!F20</f>
        <v>0</v>
      </c>
      <c r="G45" s="86">
        <f>$B45*Aurora_Output!G20</f>
        <v>0</v>
      </c>
      <c r="H45" s="86">
        <f>$B45*Aurora_Output!H20</f>
        <v>0</v>
      </c>
      <c r="I45" s="86">
        <f>$B45*Aurora_Output!I20</f>
        <v>90.07228930112349</v>
      </c>
      <c r="J45" s="86">
        <f>$B45*Aurora_Output!J20</f>
        <v>180.14457860224698</v>
      </c>
      <c r="K45" s="86">
        <f>$B45*Aurora_Output!K20</f>
        <v>0</v>
      </c>
      <c r="L45" s="86">
        <f>$B45*Aurora_Output!L20</f>
        <v>0</v>
      </c>
      <c r="M45" s="86">
        <f>$B45*Aurora_Output!M20</f>
        <v>0</v>
      </c>
      <c r="N45" s="86">
        <f>$B45*Aurora_Output!N20</f>
        <v>0</v>
      </c>
      <c r="O45" s="86">
        <f>$B45*Aurora_Output!O20</f>
        <v>0</v>
      </c>
      <c r="P45" s="86">
        <f>$B45*Aurora_Output!P20</f>
        <v>0</v>
      </c>
      <c r="Q45" s="86">
        <f>$B45*Aurora_Output!Q20</f>
        <v>0</v>
      </c>
      <c r="R45" s="86">
        <f>$B45*Aurora_Output!R20</f>
        <v>0</v>
      </c>
      <c r="S45" s="86">
        <f>$B45*Aurora_Output!S20</f>
        <v>0</v>
      </c>
      <c r="T45" s="86">
        <f>$B45*Aurora_Output!T20</f>
        <v>0</v>
      </c>
      <c r="U45" s="86">
        <f>$B45*Aurora_Output!U20</f>
        <v>0</v>
      </c>
      <c r="V45" s="86">
        <f>$B45*Aurora_Output!V20</f>
        <v>0</v>
      </c>
      <c r="W45" s="86">
        <f>$B45*Aurora_Output!W20</f>
        <v>0</v>
      </c>
      <c r="X45" s="12"/>
      <c r="Y45" s="12"/>
    </row>
    <row r="46" spans="1:33" x14ac:dyDescent="0.3">
      <c r="A46" s="55" t="s">
        <v>192</v>
      </c>
      <c r="B46" s="178">
        <f>Jobs_Per_MW!O25</f>
        <v>0.90072289301123487</v>
      </c>
      <c r="C46" s="180"/>
      <c r="D46" s="167">
        <f>$B46*Aurora_Output!D21</f>
        <v>0</v>
      </c>
      <c r="E46" s="86">
        <f>$B46*Aurora_Output!E21</f>
        <v>0</v>
      </c>
      <c r="F46" s="86">
        <f>$B46*Aurora_Output!F21</f>
        <v>0</v>
      </c>
      <c r="G46" s="86">
        <f>$B46*Aurora_Output!G21</f>
        <v>0</v>
      </c>
      <c r="H46" s="86">
        <f>$B46*Aurora_Output!H21</f>
        <v>0</v>
      </c>
      <c r="I46" s="86">
        <f>$B46*Aurora_Output!I21</f>
        <v>0</v>
      </c>
      <c r="J46" s="86">
        <f>$B46*Aurora_Output!J21</f>
        <v>0</v>
      </c>
      <c r="K46" s="86">
        <f>$B46*Aurora_Output!K21</f>
        <v>0</v>
      </c>
      <c r="L46" s="86">
        <f>$B46*Aurora_Output!L21</f>
        <v>0</v>
      </c>
      <c r="M46" s="86">
        <f>$B46*Aurora_Output!M21</f>
        <v>0</v>
      </c>
      <c r="N46" s="86">
        <f>$B46*Aurora_Output!N21</f>
        <v>0</v>
      </c>
      <c r="O46" s="86">
        <f>$B46*Aurora_Output!O21</f>
        <v>0</v>
      </c>
      <c r="P46" s="86">
        <f>$B46*Aurora_Output!P21</f>
        <v>0</v>
      </c>
      <c r="Q46" s="86">
        <f>$B46*Aurora_Output!Q21</f>
        <v>0</v>
      </c>
      <c r="R46" s="86">
        <f>$B46*Aurora_Output!R21</f>
        <v>0</v>
      </c>
      <c r="S46" s="86">
        <f>$B46*Aurora_Output!S21</f>
        <v>0</v>
      </c>
      <c r="T46" s="86">
        <f>$B46*Aurora_Output!T21</f>
        <v>0</v>
      </c>
      <c r="U46" s="86">
        <f>$B46*Aurora_Output!U21</f>
        <v>0</v>
      </c>
      <c r="V46" s="86">
        <f>$B46*Aurora_Output!V21</f>
        <v>0</v>
      </c>
      <c r="W46" s="86">
        <f>$B46*Aurora_Output!W21</f>
        <v>90.07228930112349</v>
      </c>
      <c r="X46" s="12"/>
      <c r="Y46" s="12"/>
    </row>
    <row r="47" spans="1:33" x14ac:dyDescent="0.3">
      <c r="A47" s="55" t="s">
        <v>193</v>
      </c>
      <c r="B47" s="178">
        <f>Jobs_Per_MW!O26</f>
        <v>0.90072289301123487</v>
      </c>
      <c r="C47" s="180"/>
      <c r="D47" s="167">
        <f>$B47*Aurora_Output!D22</f>
        <v>810.65060371011134</v>
      </c>
      <c r="E47" s="86">
        <f>$B47*Aurora_Output!E22</f>
        <v>630.50602510786439</v>
      </c>
      <c r="F47" s="86">
        <f>$B47*Aurora_Output!F22</f>
        <v>630.50602510786439</v>
      </c>
      <c r="G47" s="86">
        <f>$B47*Aurora_Output!G22</f>
        <v>540.43373580674097</v>
      </c>
      <c r="H47" s="86">
        <f>$B47*Aurora_Output!H22</f>
        <v>900.72289301123487</v>
      </c>
      <c r="I47" s="86">
        <f>$B47*Aurora_Output!I22</f>
        <v>900.72289301123487</v>
      </c>
      <c r="J47" s="86">
        <f>$B47*Aurora_Output!J22</f>
        <v>720.57831440898792</v>
      </c>
      <c r="K47" s="86">
        <f>$B47*Aurora_Output!K22</f>
        <v>450.36144650561744</v>
      </c>
      <c r="L47" s="86">
        <f>$B47*Aurora_Output!L22</f>
        <v>540.43373580674097</v>
      </c>
      <c r="M47" s="86">
        <f>$B47*Aurora_Output!M22</f>
        <v>270.21686790337048</v>
      </c>
      <c r="N47" s="86">
        <f>$B47*Aurora_Output!N22</f>
        <v>360.28915720449396</v>
      </c>
      <c r="O47" s="86">
        <f>$B47*Aurora_Output!O22</f>
        <v>450.36144650561744</v>
      </c>
      <c r="P47" s="86">
        <f>$B47*Aurora_Output!P22</f>
        <v>90.07228930112349</v>
      </c>
      <c r="Q47" s="86">
        <f>$B47*Aurora_Output!Q22</f>
        <v>540.43373580674097</v>
      </c>
      <c r="R47" s="86">
        <f>$B47*Aurora_Output!R22</f>
        <v>180.14457860224698</v>
      </c>
      <c r="S47" s="86">
        <f>$B47*Aurora_Output!S22</f>
        <v>810.65060371011134</v>
      </c>
      <c r="T47" s="86">
        <f>$B47*Aurora_Output!T22</f>
        <v>540.43373580674097</v>
      </c>
      <c r="U47" s="86">
        <f>$B47*Aurora_Output!U22</f>
        <v>0</v>
      </c>
      <c r="V47" s="86">
        <f>$B47*Aurora_Output!V22</f>
        <v>540.43373580674097</v>
      </c>
      <c r="W47" s="86">
        <f>$B47*Aurora_Output!W22</f>
        <v>0</v>
      </c>
      <c r="X47" s="12"/>
      <c r="Y47" s="12"/>
    </row>
    <row r="48" spans="1:33" x14ac:dyDescent="0.3">
      <c r="A48" s="55" t="s">
        <v>194</v>
      </c>
      <c r="B48" s="178">
        <f>Jobs_Per_MW!O27</f>
        <v>0.90072289301123487</v>
      </c>
      <c r="C48" s="180"/>
      <c r="D48" s="167">
        <f>$B48*Aurora_Output!D23</f>
        <v>0</v>
      </c>
      <c r="E48" s="86">
        <f>$B48*Aurora_Output!E23</f>
        <v>0</v>
      </c>
      <c r="F48" s="86">
        <f>$B48*Aurora_Output!F23</f>
        <v>90.07228930112349</v>
      </c>
      <c r="G48" s="86">
        <f>$B48*Aurora_Output!G23</f>
        <v>0</v>
      </c>
      <c r="H48" s="86">
        <f>$B48*Aurora_Output!H23</f>
        <v>0</v>
      </c>
      <c r="I48" s="86">
        <f>$B48*Aurora_Output!I23</f>
        <v>0</v>
      </c>
      <c r="J48" s="86">
        <f>$B48*Aurora_Output!J23</f>
        <v>0</v>
      </c>
      <c r="K48" s="86">
        <f>$B48*Aurora_Output!K23</f>
        <v>0</v>
      </c>
      <c r="L48" s="86">
        <f>$B48*Aurora_Output!L23</f>
        <v>0</v>
      </c>
      <c r="M48" s="86">
        <f>$B48*Aurora_Output!M23</f>
        <v>0</v>
      </c>
      <c r="N48" s="86">
        <f>$B48*Aurora_Output!N23</f>
        <v>0</v>
      </c>
      <c r="O48" s="86">
        <f>$B48*Aurora_Output!O23</f>
        <v>0</v>
      </c>
      <c r="P48" s="86">
        <f>$B48*Aurora_Output!P23</f>
        <v>0</v>
      </c>
      <c r="Q48" s="86">
        <f>$B48*Aurora_Output!Q23</f>
        <v>0</v>
      </c>
      <c r="R48" s="86">
        <f>$B48*Aurora_Output!R23</f>
        <v>0</v>
      </c>
      <c r="S48" s="86">
        <f>$B48*Aurora_Output!S23</f>
        <v>0</v>
      </c>
      <c r="T48" s="86">
        <f>$B48*Aurora_Output!T23</f>
        <v>0</v>
      </c>
      <c r="U48" s="86">
        <f>$B48*Aurora_Output!U23</f>
        <v>0</v>
      </c>
      <c r="V48" s="86">
        <f>$B48*Aurora_Output!V23</f>
        <v>0</v>
      </c>
      <c r="W48" s="86">
        <f>$B48*Aurora_Output!W23</f>
        <v>0</v>
      </c>
      <c r="X48" s="12"/>
      <c r="Y48" s="12"/>
    </row>
    <row r="49" spans="1:25" x14ac:dyDescent="0.3">
      <c r="A49" s="55" t="s">
        <v>195</v>
      </c>
      <c r="B49" s="178">
        <f>Jobs_Per_MW!O28</f>
        <v>0.90072289301123487</v>
      </c>
      <c r="C49" s="180"/>
      <c r="D49" s="167">
        <f>$B49*Aurora_Output!D24</f>
        <v>0</v>
      </c>
      <c r="E49" s="86">
        <f>$B49*Aurora_Output!E24</f>
        <v>0</v>
      </c>
      <c r="F49" s="86">
        <f>$B49*Aurora_Output!F24</f>
        <v>0</v>
      </c>
      <c r="G49" s="86">
        <f>$B49*Aurora_Output!G24</f>
        <v>0</v>
      </c>
      <c r="H49" s="86">
        <f>$B49*Aurora_Output!H24</f>
        <v>0</v>
      </c>
      <c r="I49" s="86">
        <f>$B49*Aurora_Output!I24</f>
        <v>0</v>
      </c>
      <c r="J49" s="86">
        <f>$B49*Aurora_Output!J24</f>
        <v>0</v>
      </c>
      <c r="K49" s="86">
        <f>$B49*Aurora_Output!K24</f>
        <v>0</v>
      </c>
      <c r="L49" s="86">
        <f>$B49*Aurora_Output!L24</f>
        <v>0</v>
      </c>
      <c r="M49" s="86">
        <f>$B49*Aurora_Output!M24</f>
        <v>0</v>
      </c>
      <c r="N49" s="86">
        <f>$B49*Aurora_Output!N24</f>
        <v>0</v>
      </c>
      <c r="O49" s="86">
        <f>$B49*Aurora_Output!O24</f>
        <v>0</v>
      </c>
      <c r="P49" s="86">
        <f>$B49*Aurora_Output!P24</f>
        <v>0</v>
      </c>
      <c r="Q49" s="86">
        <f>$B49*Aurora_Output!Q24</f>
        <v>0</v>
      </c>
      <c r="R49" s="86">
        <f>$B49*Aurora_Output!R24</f>
        <v>0</v>
      </c>
      <c r="S49" s="86">
        <f>$B49*Aurora_Output!S24</f>
        <v>0</v>
      </c>
      <c r="T49" s="86">
        <f>$B49*Aurora_Output!T24</f>
        <v>0</v>
      </c>
      <c r="U49" s="86">
        <f>$B49*Aurora_Output!U24</f>
        <v>0</v>
      </c>
      <c r="V49" s="86">
        <f>$B49*Aurora_Output!V24</f>
        <v>0</v>
      </c>
      <c r="W49" s="86">
        <f>$B49*Aurora_Output!W24</f>
        <v>0</v>
      </c>
      <c r="X49" s="12"/>
      <c r="Y49" s="12"/>
    </row>
    <row r="50" spans="1:25" x14ac:dyDescent="0.3">
      <c r="A50" s="55" t="s">
        <v>196</v>
      </c>
      <c r="B50" s="178">
        <f>Jobs_Per_MW!O29</f>
        <v>5.4102222992800604</v>
      </c>
      <c r="C50" s="180"/>
      <c r="D50" s="167">
        <f>$B50*Aurora_Output!D25</f>
        <v>10222.07397923837</v>
      </c>
      <c r="E50" s="86">
        <f>$B50*Aurora_Output!E25</f>
        <v>11827.557487826449</v>
      </c>
      <c r="F50" s="86">
        <f>$B50*Aurora_Output!F25</f>
        <v>10215.960442899803</v>
      </c>
      <c r="G50" s="86">
        <f>$B50*Aurora_Output!G25</f>
        <v>10206.059726185707</v>
      </c>
      <c r="H50" s="86">
        <f>$B50*Aurora_Output!H25</f>
        <v>9680.7813042381531</v>
      </c>
      <c r="I50" s="86">
        <f>$B50*Aurora_Output!I25</f>
        <v>8057.9850595263451</v>
      </c>
      <c r="J50" s="86">
        <f>$B50*Aurora_Output!J25</f>
        <v>10202.597228493027</v>
      </c>
      <c r="K50" s="86">
        <f>$B50*Aurora_Output!K25</f>
        <v>10203.408728816541</v>
      </c>
      <c r="L50" s="86">
        <f>$B50*Aurora_Output!L25</f>
        <v>8599.0073720077926</v>
      </c>
      <c r="M50" s="86">
        <f>$B50*Aurora_Output!M25</f>
        <v>15622.936575778918</v>
      </c>
      <c r="N50" s="86">
        <f>$B50*Aurora_Output!N25</f>
        <v>11296.544037066606</v>
      </c>
      <c r="O50" s="86">
        <f>$B50*Aurora_Output!O25</f>
        <v>10759.850125318872</v>
      </c>
      <c r="P50" s="86">
        <f>$B50*Aurora_Output!P25</f>
        <v>12373.773443655116</v>
      </c>
      <c r="Q50" s="86">
        <f>$B50*Aurora_Output!Q25</f>
        <v>8596.3022608581523</v>
      </c>
      <c r="R50" s="86">
        <f>$B50*Aurora_Output!R25</f>
        <v>11836.808963005011</v>
      </c>
      <c r="S50" s="86">
        <f>$B50*Aurora_Output!S25</f>
        <v>8607.3931505289238</v>
      </c>
      <c r="T50" s="86">
        <f>$B50*Aurora_Output!T25</f>
        <v>10760.445087967049</v>
      </c>
      <c r="U50" s="86">
        <f>$B50*Aurora_Output!U25</f>
        <v>0</v>
      </c>
      <c r="V50" s="86">
        <f>$B50*Aurora_Output!V25</f>
        <v>10742.266944122932</v>
      </c>
      <c r="W50" s="86">
        <f>$B50*Aurora_Output!W25</f>
        <v>4834.0876969104884</v>
      </c>
      <c r="X50" s="12"/>
      <c r="Y50" s="12"/>
    </row>
    <row r="51" spans="1:25" x14ac:dyDescent="0.3">
      <c r="A51" s="55" t="s">
        <v>197</v>
      </c>
      <c r="B51" s="178">
        <f>Jobs_Per_MW!O30</f>
        <v>5.4102222992800604</v>
      </c>
      <c r="C51" s="180"/>
      <c r="D51" s="167">
        <f>$B51*Aurora_Output!D26</f>
        <v>2704.8406220143779</v>
      </c>
      <c r="E51" s="86">
        <f>$B51*Aurora_Output!E26</f>
        <v>540.75170230235392</v>
      </c>
      <c r="F51" s="86">
        <f>$B51*Aurora_Output!F26</f>
        <v>1078.7982934550678</v>
      </c>
      <c r="G51" s="86">
        <f>$B51*Aurora_Output!G26</f>
        <v>2703.7585115117695</v>
      </c>
      <c r="H51" s="86">
        <f>$B51*Aurora_Output!H26</f>
        <v>541.02222992800603</v>
      </c>
      <c r="I51" s="86">
        <f>$B51*Aurora_Output!I26</f>
        <v>1081.5034046047078</v>
      </c>
      <c r="J51" s="86">
        <f>$B51*Aurora_Output!J26</f>
        <v>0</v>
      </c>
      <c r="K51" s="86">
        <f>$B51*Aurora_Output!K26</f>
        <v>2703.7585115117695</v>
      </c>
      <c r="L51" s="86">
        <f>$B51*Aurora_Output!L26</f>
        <v>3785.8029713677815</v>
      </c>
      <c r="M51" s="86">
        <f>$B51*Aurora_Output!M26</f>
        <v>0</v>
      </c>
      <c r="N51" s="86">
        <f>$B51*Aurora_Output!N26</f>
        <v>0</v>
      </c>
      <c r="O51" s="86">
        <f>$B51*Aurora_Output!O26</f>
        <v>0</v>
      </c>
      <c r="P51" s="86">
        <f>$B51*Aurora_Output!P26</f>
        <v>3783.9094430950977</v>
      </c>
      <c r="Q51" s="86">
        <f>$B51*Aurora_Output!Q26</f>
        <v>1623.0666897840181</v>
      </c>
      <c r="R51" s="86">
        <f>$B51*Aurora_Output!R26</f>
        <v>0</v>
      </c>
      <c r="S51" s="86">
        <f>$B51*Aurora_Output!S26</f>
        <v>1081.5034046047078</v>
      </c>
      <c r="T51" s="86">
        <f>$B51*Aurora_Output!T26</f>
        <v>1621.9846618348502</v>
      </c>
      <c r="U51" s="86">
        <f>$B51*Aurora_Output!U26</f>
        <v>0</v>
      </c>
      <c r="V51" s="86">
        <f>$B51*Aurora_Output!V26</f>
        <v>2704.5700943887259</v>
      </c>
      <c r="W51" s="86">
        <f>$B51*Aurora_Output!W26</f>
        <v>10206.384243761673</v>
      </c>
      <c r="X51" s="12"/>
      <c r="Y51" s="12"/>
    </row>
    <row r="52" spans="1:25" x14ac:dyDescent="0.3">
      <c r="A52" s="55" t="s">
        <v>198</v>
      </c>
      <c r="B52" s="178">
        <f>Jobs_Per_MW!O31</f>
        <v>5.4102222992800604</v>
      </c>
      <c r="C52" s="180"/>
      <c r="D52" s="167">
        <f>$B52*Aurora_Output!D27</f>
        <v>0</v>
      </c>
      <c r="E52" s="86">
        <f>$B52*Aurora_Output!E27</f>
        <v>0</v>
      </c>
      <c r="F52" s="86">
        <f>$B52*Aurora_Output!F27</f>
        <v>0</v>
      </c>
      <c r="G52" s="86">
        <f>$B52*Aurora_Output!G27</f>
        <v>0</v>
      </c>
      <c r="H52" s="86">
        <f>$B52*Aurora_Output!H27</f>
        <v>0</v>
      </c>
      <c r="I52" s="86">
        <f>$B52*Aurora_Output!I27</f>
        <v>0</v>
      </c>
      <c r="J52" s="86">
        <f>$B52*Aurora_Output!J27</f>
        <v>0</v>
      </c>
      <c r="K52" s="86">
        <f>$B52*Aurora_Output!K27</f>
        <v>0</v>
      </c>
      <c r="L52" s="86">
        <f>$B52*Aurora_Output!L27</f>
        <v>0</v>
      </c>
      <c r="M52" s="86">
        <f>$B52*Aurora_Output!M27</f>
        <v>0</v>
      </c>
      <c r="N52" s="86">
        <f>$B52*Aurora_Output!N27</f>
        <v>0</v>
      </c>
      <c r="O52" s="86">
        <f>$B52*Aurora_Output!O27</f>
        <v>0</v>
      </c>
      <c r="P52" s="86">
        <f>$B52*Aurora_Output!P27</f>
        <v>0</v>
      </c>
      <c r="Q52" s="86">
        <f>$B52*Aurora_Output!Q27</f>
        <v>0</v>
      </c>
      <c r="R52" s="86">
        <f>$B52*Aurora_Output!R27</f>
        <v>0</v>
      </c>
      <c r="S52" s="86">
        <f>$B52*Aurora_Output!S27</f>
        <v>0</v>
      </c>
      <c r="T52" s="86">
        <f>$B52*Aurora_Output!T27</f>
        <v>0</v>
      </c>
      <c r="U52" s="86">
        <f>$B52*Aurora_Output!U27</f>
        <v>0</v>
      </c>
      <c r="V52" s="86">
        <f>$B52*Aurora_Output!V27</f>
        <v>0</v>
      </c>
      <c r="W52" s="86">
        <f>$B52*Aurora_Output!W27</f>
        <v>0</v>
      </c>
      <c r="X52" s="12"/>
      <c r="Y52" s="12"/>
    </row>
    <row r="53" spans="1:25" x14ac:dyDescent="0.3">
      <c r="A53" s="55" t="s">
        <v>199</v>
      </c>
      <c r="B53" s="178">
        <f>Jobs_Per_MW!O32</f>
        <v>5.4102222992800604</v>
      </c>
      <c r="C53" s="180"/>
      <c r="D53" s="167">
        <f>$B53*Aurora_Output!D28</f>
        <v>0</v>
      </c>
      <c r="E53" s="86">
        <f>$B53*Aurora_Output!E28</f>
        <v>0</v>
      </c>
      <c r="F53" s="86">
        <f>$B53*Aurora_Output!F28</f>
        <v>0</v>
      </c>
      <c r="G53" s="86">
        <f>$B53*Aurora_Output!G28</f>
        <v>0</v>
      </c>
      <c r="H53" s="86">
        <f>$B53*Aurora_Output!H28</f>
        <v>0</v>
      </c>
      <c r="I53" s="86">
        <f>$B53*Aurora_Output!I28</f>
        <v>0</v>
      </c>
      <c r="J53" s="86">
        <f>$B53*Aurora_Output!J28</f>
        <v>0</v>
      </c>
      <c r="K53" s="86">
        <f>$B53*Aurora_Output!K28</f>
        <v>0</v>
      </c>
      <c r="L53" s="86">
        <f>$B53*Aurora_Output!L28</f>
        <v>0</v>
      </c>
      <c r="M53" s="86">
        <f>$B53*Aurora_Output!M28</f>
        <v>0</v>
      </c>
      <c r="N53" s="86">
        <f>$B53*Aurora_Output!N28</f>
        <v>0</v>
      </c>
      <c r="O53" s="86">
        <f>$B53*Aurora_Output!O28</f>
        <v>0</v>
      </c>
      <c r="P53" s="86">
        <f>$B53*Aurora_Output!P28</f>
        <v>0</v>
      </c>
      <c r="Q53" s="86">
        <f>$B53*Aurora_Output!Q28</f>
        <v>0</v>
      </c>
      <c r="R53" s="86">
        <f>$B53*Aurora_Output!R28</f>
        <v>0</v>
      </c>
      <c r="S53" s="86">
        <f>$B53*Aurora_Output!S28</f>
        <v>0</v>
      </c>
      <c r="T53" s="86">
        <f>$B53*Aurora_Output!T28</f>
        <v>0</v>
      </c>
      <c r="U53" s="86">
        <f>$B53*Aurora_Output!U28</f>
        <v>0</v>
      </c>
      <c r="V53" s="86">
        <f>$B53*Aurora_Output!V28</f>
        <v>0</v>
      </c>
      <c r="W53" s="86">
        <f>$B53*Aurora_Output!W28</f>
        <v>0</v>
      </c>
      <c r="X53" s="12"/>
      <c r="Y53" s="12"/>
    </row>
    <row r="54" spans="1:25" x14ac:dyDescent="0.3">
      <c r="A54" s="55" t="s">
        <v>200</v>
      </c>
      <c r="B54" s="178">
        <f>Jobs_Per_MW!O33</f>
        <v>5.4102222992800604</v>
      </c>
      <c r="C54" s="180"/>
      <c r="D54" s="167">
        <f>$B54*Aurora_Output!D29</f>
        <v>0</v>
      </c>
      <c r="E54" s="86">
        <f>$B54*Aurora_Output!E29</f>
        <v>0</v>
      </c>
      <c r="F54" s="86">
        <f>$B54*Aurora_Output!F29</f>
        <v>0</v>
      </c>
      <c r="G54" s="86">
        <f>$B54*Aurora_Output!G29</f>
        <v>0</v>
      </c>
      <c r="H54" s="86">
        <f>$B54*Aurora_Output!H29</f>
        <v>0</v>
      </c>
      <c r="I54" s="86">
        <f>$B54*Aurora_Output!I29</f>
        <v>0</v>
      </c>
      <c r="J54" s="86">
        <f>$B54*Aurora_Output!J29</f>
        <v>0</v>
      </c>
      <c r="K54" s="86">
        <f>$B54*Aurora_Output!K29</f>
        <v>0</v>
      </c>
      <c r="L54" s="86">
        <f>$B54*Aurora_Output!L29</f>
        <v>0</v>
      </c>
      <c r="M54" s="86">
        <f>$B54*Aurora_Output!M29</f>
        <v>0</v>
      </c>
      <c r="N54" s="86">
        <f>$B54*Aurora_Output!N29</f>
        <v>0</v>
      </c>
      <c r="O54" s="86">
        <f>$B54*Aurora_Output!O29</f>
        <v>0</v>
      </c>
      <c r="P54" s="86">
        <f>$B54*Aurora_Output!P29</f>
        <v>0</v>
      </c>
      <c r="Q54" s="86">
        <f>$B54*Aurora_Output!Q29</f>
        <v>0</v>
      </c>
      <c r="R54" s="86">
        <f>$B54*Aurora_Output!R29</f>
        <v>0</v>
      </c>
      <c r="S54" s="86">
        <f>$B54*Aurora_Output!S29</f>
        <v>0</v>
      </c>
      <c r="T54" s="86">
        <f>$B54*Aurora_Output!T29</f>
        <v>0</v>
      </c>
      <c r="U54" s="86">
        <f>$B54*Aurora_Output!U29</f>
        <v>0</v>
      </c>
      <c r="V54" s="86">
        <f>$B54*Aurora_Output!V29</f>
        <v>0</v>
      </c>
      <c r="W54" s="86">
        <f>$B54*Aurora_Output!W29</f>
        <v>0</v>
      </c>
      <c r="X54" s="12"/>
      <c r="Y54" s="12"/>
    </row>
    <row r="55" spans="1:25" x14ac:dyDescent="0.3">
      <c r="A55" s="55" t="s">
        <v>201</v>
      </c>
      <c r="B55" s="178">
        <f>Jobs_Per_MW!O34</f>
        <v>0.90072289301123487</v>
      </c>
      <c r="C55" s="180"/>
      <c r="D55" s="167">
        <f>$B55*Aurora_Output!D30</f>
        <v>90.07228930112349</v>
      </c>
      <c r="E55" s="86">
        <f>$B55*Aurora_Output!E30</f>
        <v>90.07228930112349</v>
      </c>
      <c r="F55" s="86">
        <f>$B55*Aurora_Output!F30</f>
        <v>90.07228930112349</v>
      </c>
      <c r="G55" s="86">
        <f>$B55*Aurora_Output!G30</f>
        <v>90.07228930112349</v>
      </c>
      <c r="H55" s="86">
        <f>$B55*Aurora_Output!H30</f>
        <v>90.07228930112349</v>
      </c>
      <c r="I55" s="86">
        <f>$B55*Aurora_Output!I30</f>
        <v>90.07228930112349</v>
      </c>
      <c r="J55" s="86">
        <f>$B55*Aurora_Output!J30</f>
        <v>90.07228930112349</v>
      </c>
      <c r="K55" s="86">
        <f>$B55*Aurora_Output!K30</f>
        <v>90.07228930112349</v>
      </c>
      <c r="L55" s="86">
        <f>$B55*Aurora_Output!L30</f>
        <v>90.07228930112349</v>
      </c>
      <c r="M55" s="86">
        <f>$B55*Aurora_Output!M30</f>
        <v>90.07228930112349</v>
      </c>
      <c r="N55" s="86">
        <f>$B55*Aurora_Output!N30</f>
        <v>90.07228930112349</v>
      </c>
      <c r="O55" s="86">
        <f>$B55*Aurora_Output!O30</f>
        <v>90.07228930112349</v>
      </c>
      <c r="P55" s="86">
        <f>$B55*Aurora_Output!P30</f>
        <v>90.07228930112349</v>
      </c>
      <c r="Q55" s="86">
        <f>$B55*Aurora_Output!Q30</f>
        <v>90.07228930112349</v>
      </c>
      <c r="R55" s="86">
        <f>$B55*Aurora_Output!R30</f>
        <v>90.07228930112349</v>
      </c>
      <c r="S55" s="86">
        <f>$B55*Aurora_Output!S30</f>
        <v>90.07228930112349</v>
      </c>
      <c r="T55" s="86">
        <f>$B55*Aurora_Output!T30</f>
        <v>90.07228930112349</v>
      </c>
      <c r="U55" s="86">
        <f>$B55*Aurora_Output!U30</f>
        <v>0</v>
      </c>
      <c r="V55" s="86">
        <f>$B55*Aurora_Output!V30</f>
        <v>90.07228930112349</v>
      </c>
      <c r="W55" s="86">
        <f>$B55*Aurora_Output!W30</f>
        <v>90.07228930112349</v>
      </c>
      <c r="X55" s="12"/>
      <c r="Y55" s="12"/>
    </row>
    <row r="56" spans="1:25" x14ac:dyDescent="0.3">
      <c r="A56" s="55" t="s">
        <v>202</v>
      </c>
      <c r="B56" s="178">
        <f>Jobs_Per_MW!O35</f>
        <v>5.4102222992800604</v>
      </c>
      <c r="C56" s="180"/>
      <c r="D56" s="167">
        <f>$B56*Aurora_Output!D31</f>
        <v>0</v>
      </c>
      <c r="E56" s="86">
        <f>$B56*Aurora_Output!E31</f>
        <v>0</v>
      </c>
      <c r="F56" s="86">
        <f>$B56*Aurora_Output!F31</f>
        <v>0</v>
      </c>
      <c r="G56" s="86">
        <f>$B56*Aurora_Output!G31</f>
        <v>0</v>
      </c>
      <c r="H56" s="86">
        <f>$B56*Aurora_Output!H31</f>
        <v>0</v>
      </c>
      <c r="I56" s="86">
        <f>$B56*Aurora_Output!I31</f>
        <v>0</v>
      </c>
      <c r="J56" s="86">
        <f>$B56*Aurora_Output!J31</f>
        <v>0</v>
      </c>
      <c r="K56" s="86">
        <f>$B56*Aurora_Output!K31</f>
        <v>0</v>
      </c>
      <c r="L56" s="86">
        <f>$B56*Aurora_Output!L31</f>
        <v>0</v>
      </c>
      <c r="M56" s="86">
        <f>$B56*Aurora_Output!M31</f>
        <v>0</v>
      </c>
      <c r="N56" s="86">
        <f>$B56*Aurora_Output!N31</f>
        <v>0</v>
      </c>
      <c r="O56" s="86">
        <f>$B56*Aurora_Output!O31</f>
        <v>0</v>
      </c>
      <c r="P56" s="86">
        <f>$B56*Aurora_Output!P31</f>
        <v>0</v>
      </c>
      <c r="Q56" s="86">
        <f>$B56*Aurora_Output!Q31</f>
        <v>0</v>
      </c>
      <c r="R56" s="86">
        <f>$B56*Aurora_Output!R31</f>
        <v>0</v>
      </c>
      <c r="S56" s="86">
        <f>$B56*Aurora_Output!S31</f>
        <v>0</v>
      </c>
      <c r="T56" s="86">
        <f>$B56*Aurora_Output!T31</f>
        <v>0</v>
      </c>
      <c r="U56" s="86">
        <f>$B56*Aurora_Output!U31</f>
        <v>0</v>
      </c>
      <c r="V56" s="86">
        <f>$B56*Aurora_Output!V31</f>
        <v>0</v>
      </c>
      <c r="W56" s="86">
        <f>$B56*Aurora_Output!W31</f>
        <v>0</v>
      </c>
      <c r="X56" s="12"/>
      <c r="Y56" s="12"/>
    </row>
    <row r="57" spans="1:25" x14ac:dyDescent="0.3">
      <c r="A57" s="55" t="s">
        <v>203</v>
      </c>
      <c r="B57" s="178">
        <f>Jobs_Per_MW!O36</f>
        <v>14.749338694318062</v>
      </c>
      <c r="C57" s="180"/>
      <c r="D57" s="167">
        <f>$B57*Aurora_Output!D32</f>
        <v>0</v>
      </c>
      <c r="E57" s="86">
        <f>$B57*Aurora_Output!E32</f>
        <v>0</v>
      </c>
      <c r="F57" s="86">
        <f>$B57*Aurora_Output!F32</f>
        <v>0</v>
      </c>
      <c r="G57" s="86">
        <f>$B57*Aurora_Output!G32</f>
        <v>0</v>
      </c>
      <c r="H57" s="86">
        <f>$B57*Aurora_Output!H32</f>
        <v>0</v>
      </c>
      <c r="I57" s="86">
        <f>$B57*Aurora_Output!I32</f>
        <v>0</v>
      </c>
      <c r="J57" s="86">
        <f>$B57*Aurora_Output!J32</f>
        <v>0</v>
      </c>
      <c r="K57" s="86">
        <f>$B57*Aurora_Output!K32</f>
        <v>0</v>
      </c>
      <c r="L57" s="86">
        <f>$B57*Aurora_Output!L32</f>
        <v>0</v>
      </c>
      <c r="M57" s="86">
        <f>$B57*Aurora_Output!M32</f>
        <v>4424.8016082954191</v>
      </c>
      <c r="N57" s="86">
        <f>$B57*Aurora_Output!N32</f>
        <v>0</v>
      </c>
      <c r="O57" s="86">
        <f>$B57*Aurora_Output!O32</f>
        <v>0</v>
      </c>
      <c r="P57" s="86">
        <f>$B57*Aurora_Output!P32</f>
        <v>0</v>
      </c>
      <c r="Q57" s="86">
        <f>$B57*Aurora_Output!Q32</f>
        <v>0</v>
      </c>
      <c r="R57" s="86">
        <f>$B57*Aurora_Output!R32</f>
        <v>0</v>
      </c>
      <c r="S57" s="86">
        <f>$B57*Aurora_Output!S32</f>
        <v>0</v>
      </c>
      <c r="T57" s="86">
        <f>$B57*Aurora_Output!T32</f>
        <v>0</v>
      </c>
      <c r="U57" s="86">
        <f>$B57*Aurora_Output!U32</f>
        <v>0</v>
      </c>
      <c r="V57" s="86">
        <f>$B57*Aurora_Output!V32</f>
        <v>0</v>
      </c>
      <c r="W57" s="86">
        <f>$B57*Aurora_Output!W32</f>
        <v>0</v>
      </c>
      <c r="X57" s="12"/>
      <c r="Y57" s="12"/>
    </row>
    <row r="58" spans="1:25" x14ac:dyDescent="0.3">
      <c r="A58" s="55" t="s">
        <v>204</v>
      </c>
      <c r="B58" s="178">
        <f>Jobs_Per_MW!O37</f>
        <v>14.749338694318062</v>
      </c>
      <c r="C58" s="180"/>
      <c r="D58" s="167">
        <f>$B58*Aurora_Output!D33</f>
        <v>17699.206433181676</v>
      </c>
      <c r="E58" s="86">
        <f>$B58*Aurora_Output!E33</f>
        <v>25073.875780340706</v>
      </c>
      <c r="F58" s="86">
        <f>$B58*Aurora_Output!F33</f>
        <v>28023.743519204319</v>
      </c>
      <c r="G58" s="86">
        <f>$B58*Aurora_Output!G33</f>
        <v>19174.140302613479</v>
      </c>
      <c r="H58" s="86">
        <f>$B58*Aurora_Output!H33</f>
        <v>22124.008041477093</v>
      </c>
      <c r="I58" s="86">
        <f>$B58*Aurora_Output!I33</f>
        <v>16224.272563749868</v>
      </c>
      <c r="J58" s="86">
        <f>$B58*Aurora_Output!J33</f>
        <v>19174.140302613479</v>
      </c>
      <c r="K58" s="86">
        <f>$B58*Aurora_Output!K33</f>
        <v>16224.272563749868</v>
      </c>
      <c r="L58" s="86">
        <f>$B58*Aurora_Output!L33</f>
        <v>22124.008041477093</v>
      </c>
      <c r="M58" s="86">
        <f>$B58*Aurora_Output!M33</f>
        <v>66372.024124431278</v>
      </c>
      <c r="N58" s="86">
        <f>$B58*Aurora_Output!N33</f>
        <v>20649.074172045286</v>
      </c>
      <c r="O58" s="86">
        <f>$B58*Aurora_Output!O33</f>
        <v>16224.272563749868</v>
      </c>
      <c r="P58" s="86">
        <f>$B58*Aurora_Output!P33</f>
        <v>19174.140302613479</v>
      </c>
      <c r="Q58" s="86">
        <f>$B58*Aurora_Output!Q33</f>
        <v>19174.140302613479</v>
      </c>
      <c r="R58" s="86">
        <f>$B58*Aurora_Output!R33</f>
        <v>19174.140302613479</v>
      </c>
      <c r="S58" s="86">
        <f>$B58*Aurora_Output!S33</f>
        <v>20649.074172045286</v>
      </c>
      <c r="T58" s="86">
        <f>$B58*Aurora_Output!T33</f>
        <v>17699.206433181676</v>
      </c>
      <c r="U58" s="86">
        <f>$B58*Aurora_Output!U33</f>
        <v>0</v>
      </c>
      <c r="V58" s="86">
        <f>$B58*Aurora_Output!V33</f>
        <v>19174.140302613479</v>
      </c>
      <c r="W58" s="86">
        <f>$B58*Aurora_Output!W33</f>
        <v>5899.7354777272249</v>
      </c>
      <c r="X58" s="12"/>
      <c r="Y58" s="12"/>
    </row>
    <row r="59" spans="1:25" x14ac:dyDescent="0.3">
      <c r="A59" s="55" t="s">
        <v>205</v>
      </c>
      <c r="B59" s="178">
        <f>Jobs_Per_MW!O38</f>
        <v>14.749338694318062</v>
      </c>
      <c r="C59" s="180"/>
      <c r="D59" s="167">
        <f>$B59*Aurora_Output!D34</f>
        <v>7374.6693471590315</v>
      </c>
      <c r="E59" s="86">
        <f>$B59*Aurora_Output!E34</f>
        <v>0</v>
      </c>
      <c r="F59" s="86">
        <f>$B59*Aurora_Output!F34</f>
        <v>0</v>
      </c>
      <c r="G59" s="86">
        <f>$B59*Aurora_Output!G34</f>
        <v>4424.8016082954191</v>
      </c>
      <c r="H59" s="86">
        <f>$B59*Aurora_Output!H34</f>
        <v>1474.9338694318062</v>
      </c>
      <c r="I59" s="86">
        <f>$B59*Aurora_Output!I34</f>
        <v>2949.8677388636124</v>
      </c>
      <c r="J59" s="86">
        <f>$B59*Aurora_Output!J34</f>
        <v>2949.8677388636124</v>
      </c>
      <c r="K59" s="86">
        <f>$B59*Aurora_Output!K34</f>
        <v>5899.7354777272249</v>
      </c>
      <c r="L59" s="86">
        <f>$B59*Aurora_Output!L34</f>
        <v>2949.8677388636124</v>
      </c>
      <c r="M59" s="86">
        <f>$B59*Aurora_Output!M34</f>
        <v>0</v>
      </c>
      <c r="N59" s="86">
        <f>$B59*Aurora_Output!N34</f>
        <v>0</v>
      </c>
      <c r="O59" s="86">
        <f>$B59*Aurora_Output!O34</f>
        <v>1474.9338694318062</v>
      </c>
      <c r="P59" s="86">
        <f>$B59*Aurora_Output!P34</f>
        <v>1474.9338694318062</v>
      </c>
      <c r="Q59" s="86">
        <f>$B59*Aurora_Output!Q34</f>
        <v>0</v>
      </c>
      <c r="R59" s="86">
        <f>$B59*Aurora_Output!R34</f>
        <v>1474.9338694318062</v>
      </c>
      <c r="S59" s="86">
        <f>$B59*Aurora_Output!S34</f>
        <v>0</v>
      </c>
      <c r="T59" s="86">
        <f>$B59*Aurora_Output!T34</f>
        <v>2949.8677388636124</v>
      </c>
      <c r="U59" s="86">
        <f>$B59*Aurora_Output!U34</f>
        <v>0</v>
      </c>
      <c r="V59" s="86">
        <f>$B59*Aurora_Output!V34</f>
        <v>2949.8677388636124</v>
      </c>
      <c r="W59" s="86">
        <f>$B59*Aurora_Output!W34</f>
        <v>1474.9338694318062</v>
      </c>
      <c r="X59" s="12"/>
      <c r="Y59" s="12"/>
    </row>
    <row r="60" spans="1:25" x14ac:dyDescent="0.3">
      <c r="A60" s="55" t="s">
        <v>206</v>
      </c>
      <c r="B60" s="178">
        <f>Jobs_Per_MW!O39</f>
        <v>0.35900418482286067</v>
      </c>
      <c r="C60" s="180"/>
      <c r="D60" s="167">
        <f>$B60*Aurora_Output!D35</f>
        <v>0</v>
      </c>
      <c r="E60" s="86">
        <f>$B60*Aurora_Output!E35</f>
        <v>0</v>
      </c>
      <c r="F60" s="86">
        <f>$B60*Aurora_Output!F35</f>
        <v>0</v>
      </c>
      <c r="G60" s="86">
        <f>$B60*Aurora_Output!G35</f>
        <v>0</v>
      </c>
      <c r="H60" s="86">
        <f>$B60*Aurora_Output!H35</f>
        <v>0</v>
      </c>
      <c r="I60" s="86">
        <f>$B60*Aurora_Output!I35</f>
        <v>71.800836964572142</v>
      </c>
      <c r="J60" s="86">
        <f>$B60*Aurora_Output!J35</f>
        <v>71.800836964572142</v>
      </c>
      <c r="K60" s="86">
        <f>$B60*Aurora_Output!K35</f>
        <v>0</v>
      </c>
      <c r="L60" s="86">
        <f>$B60*Aurora_Output!L35</f>
        <v>0</v>
      </c>
      <c r="M60" s="86">
        <f>$B60*Aurora_Output!M35</f>
        <v>0</v>
      </c>
      <c r="N60" s="86">
        <f>$B60*Aurora_Output!N35</f>
        <v>71.800836964572142</v>
      </c>
      <c r="O60" s="86">
        <f>$B60*Aurora_Output!O35</f>
        <v>71.800836964572142</v>
      </c>
      <c r="P60" s="86">
        <f>$B60*Aurora_Output!P35</f>
        <v>71.800836964572142</v>
      </c>
      <c r="Q60" s="86">
        <f>$B60*Aurora_Output!Q35</f>
        <v>71.800836964572142</v>
      </c>
      <c r="R60" s="86">
        <f>$B60*Aurora_Output!R35</f>
        <v>71.800836964572142</v>
      </c>
      <c r="S60" s="86">
        <f>$B60*Aurora_Output!S35</f>
        <v>71.800836964572142</v>
      </c>
      <c r="T60" s="86">
        <f>$B60*Aurora_Output!T35</f>
        <v>71.800836964572142</v>
      </c>
      <c r="U60" s="86">
        <f>$B60*Aurora_Output!U35</f>
        <v>0</v>
      </c>
      <c r="V60" s="86">
        <f>$B60*Aurora_Output!V35</f>
        <v>0</v>
      </c>
      <c r="W60" s="86">
        <f>$B60*Aurora_Output!W35</f>
        <v>0</v>
      </c>
      <c r="X60" s="12"/>
      <c r="Y60" s="12"/>
    </row>
    <row r="61" spans="1:25" x14ac:dyDescent="0.3">
      <c r="A61" s="55" t="s">
        <v>207</v>
      </c>
      <c r="B61" s="178">
        <f>Jobs_Per_MW!O40</f>
        <v>0.35900418482286067</v>
      </c>
      <c r="C61" s="180"/>
      <c r="D61" s="167">
        <f>$B61*Aurora_Output!D36</f>
        <v>0</v>
      </c>
      <c r="E61" s="86">
        <f>$B61*Aurora_Output!E36</f>
        <v>0</v>
      </c>
      <c r="F61" s="86">
        <f>$B61*Aurora_Output!F36</f>
        <v>0</v>
      </c>
      <c r="G61" s="86">
        <f>$B61*Aurora_Output!G36</f>
        <v>0</v>
      </c>
      <c r="H61" s="86">
        <f>$B61*Aurora_Output!H36</f>
        <v>0</v>
      </c>
      <c r="I61" s="86">
        <f>$B61*Aurora_Output!I36</f>
        <v>0</v>
      </c>
      <c r="J61" s="86">
        <f>$B61*Aurora_Output!J36</f>
        <v>0</v>
      </c>
      <c r="K61" s="86">
        <f>$B61*Aurora_Output!K36</f>
        <v>71.800836964572142</v>
      </c>
      <c r="L61" s="86">
        <f>$B61*Aurora_Output!L36</f>
        <v>0</v>
      </c>
      <c r="M61" s="86">
        <f>$B61*Aurora_Output!M36</f>
        <v>0</v>
      </c>
      <c r="N61" s="86">
        <f>$B61*Aurora_Output!N36</f>
        <v>0</v>
      </c>
      <c r="O61" s="86">
        <f>$B61*Aurora_Output!O36</f>
        <v>71.800836964572142</v>
      </c>
      <c r="P61" s="86">
        <f>$B61*Aurora_Output!P36</f>
        <v>71.800836964572142</v>
      </c>
      <c r="Q61" s="86">
        <f>$B61*Aurora_Output!Q36</f>
        <v>71.800836964572142</v>
      </c>
      <c r="R61" s="86">
        <f>$B61*Aurora_Output!R36</f>
        <v>71.800836964572142</v>
      </c>
      <c r="S61" s="86">
        <f>$B61*Aurora_Output!S36</f>
        <v>0</v>
      </c>
      <c r="T61" s="86">
        <f>$B61*Aurora_Output!T36</f>
        <v>71.800836964572142</v>
      </c>
      <c r="U61" s="86">
        <f>$B61*Aurora_Output!U36</f>
        <v>0</v>
      </c>
      <c r="V61" s="86">
        <f>$B61*Aurora_Output!V36</f>
        <v>0</v>
      </c>
      <c r="W61" s="86">
        <f>$B61*Aurora_Output!W36</f>
        <v>0</v>
      </c>
      <c r="X61" s="12"/>
      <c r="Y61" s="12"/>
    </row>
    <row r="62" spans="1:25" x14ac:dyDescent="0.3">
      <c r="A62" s="55" t="s">
        <v>208</v>
      </c>
      <c r="B62" s="178">
        <f>Jobs_Per_MW!O41</f>
        <v>14.749338694318062</v>
      </c>
      <c r="C62" s="180"/>
      <c r="D62" s="167">
        <f>$B62*Aurora_Output!D37</f>
        <v>0</v>
      </c>
      <c r="E62" s="86">
        <f>$B62*Aurora_Output!E37</f>
        <v>0</v>
      </c>
      <c r="F62" s="86">
        <f>$B62*Aurora_Output!F37</f>
        <v>0</v>
      </c>
      <c r="G62" s="86">
        <f>$B62*Aurora_Output!G37</f>
        <v>0</v>
      </c>
      <c r="H62" s="86">
        <f>$B62*Aurora_Output!H37</f>
        <v>2212.4008041477096</v>
      </c>
      <c r="I62" s="86">
        <f>$B62*Aurora_Output!I37</f>
        <v>0</v>
      </c>
      <c r="J62" s="86">
        <f>$B62*Aurora_Output!J37</f>
        <v>0</v>
      </c>
      <c r="K62" s="86">
        <f>$B62*Aurora_Output!K37</f>
        <v>0</v>
      </c>
      <c r="L62" s="86">
        <f>$B62*Aurora_Output!L37</f>
        <v>0</v>
      </c>
      <c r="M62" s="86">
        <f>$B62*Aurora_Output!M37</f>
        <v>0</v>
      </c>
      <c r="N62" s="86">
        <f>$B62*Aurora_Output!N37</f>
        <v>0</v>
      </c>
      <c r="O62" s="86">
        <f>$B62*Aurora_Output!O37</f>
        <v>147.49338694318061</v>
      </c>
      <c r="P62" s="86">
        <f>$B62*Aurora_Output!P37</f>
        <v>0</v>
      </c>
      <c r="Q62" s="86">
        <f>$B62*Aurora_Output!Q37</f>
        <v>2212.4008041477096</v>
      </c>
      <c r="R62" s="86">
        <f>$B62*Aurora_Output!R37</f>
        <v>2212.4008041477096</v>
      </c>
      <c r="S62" s="86">
        <f>$B62*Aurora_Output!S37</f>
        <v>221.24008041477094</v>
      </c>
      <c r="T62" s="86">
        <f>$B62*Aurora_Output!T37</f>
        <v>2212.4008041477096</v>
      </c>
      <c r="U62" s="86">
        <f>$B62*Aurora_Output!U37</f>
        <v>0</v>
      </c>
      <c r="V62" s="86">
        <f>$B62*Aurora_Output!V37</f>
        <v>0</v>
      </c>
      <c r="W62" s="86">
        <f>$B62*Aurora_Output!W37</f>
        <v>0</v>
      </c>
      <c r="X62" s="12"/>
      <c r="Y62" s="12"/>
    </row>
    <row r="63" spans="1:25" x14ac:dyDescent="0.3">
      <c r="A63" s="55" t="s">
        <v>209</v>
      </c>
      <c r="B63" s="178">
        <f>Jobs_Per_MW!O42</f>
        <v>0.90072289301123487</v>
      </c>
      <c r="C63" s="180"/>
      <c r="D63" s="167">
        <f>$B63*Aurora_Output!D38</f>
        <v>945.75903766179658</v>
      </c>
      <c r="E63" s="86">
        <f>$B63*Aurora_Output!E38</f>
        <v>1080.8674716134819</v>
      </c>
      <c r="F63" s="86">
        <f>$B63*Aurora_Output!F38</f>
        <v>945.75903766179658</v>
      </c>
      <c r="G63" s="86">
        <f>$B63*Aurora_Output!G38</f>
        <v>945.75903766179658</v>
      </c>
      <c r="H63" s="86">
        <f>$B63*Aurora_Output!H38</f>
        <v>945.75903766179658</v>
      </c>
      <c r="I63" s="86">
        <f>$B63*Aurora_Output!I38</f>
        <v>1351.0843395168522</v>
      </c>
      <c r="J63" s="86">
        <f>$B63*Aurora_Output!J38</f>
        <v>1215.9759055651671</v>
      </c>
      <c r="K63" s="86">
        <f>$B63*Aurora_Output!K38</f>
        <v>1486.1927734685376</v>
      </c>
      <c r="L63" s="86">
        <f>$B63*Aurora_Output!L38</f>
        <v>1080.8674716134819</v>
      </c>
      <c r="M63" s="86">
        <f>$B63*Aurora_Output!M38</f>
        <v>1756.409641371908</v>
      </c>
      <c r="N63" s="86">
        <f>$B63*Aurora_Output!N38</f>
        <v>675.5421697584261</v>
      </c>
      <c r="O63" s="86">
        <f>$B63*Aurora_Output!O38</f>
        <v>405.32530185505567</v>
      </c>
      <c r="P63" s="86">
        <f>$B63*Aurora_Output!P38</f>
        <v>1080.8674716134819</v>
      </c>
      <c r="Q63" s="86">
        <f>$B63*Aurora_Output!Q38</f>
        <v>1080.8674716134819</v>
      </c>
      <c r="R63" s="86">
        <f>$B63*Aurora_Output!R38</f>
        <v>1080.8674716134819</v>
      </c>
      <c r="S63" s="86">
        <f>$B63*Aurora_Output!S38</f>
        <v>810.65060371011134</v>
      </c>
      <c r="T63" s="86">
        <f>$B63*Aurora_Output!T38</f>
        <v>945.75903766179658</v>
      </c>
      <c r="U63" s="86">
        <f>$B63*Aurora_Output!U38</f>
        <v>0</v>
      </c>
      <c r="V63" s="86">
        <f>$B63*Aurora_Output!V38</f>
        <v>1621.3012074202227</v>
      </c>
      <c r="W63" s="86">
        <f>$B63*Aurora_Output!W38</f>
        <v>675.5421697584261</v>
      </c>
      <c r="X63" s="12"/>
      <c r="Y63" s="12"/>
    </row>
    <row r="64" spans="1:25" x14ac:dyDescent="0.3">
      <c r="A64" s="55" t="s">
        <v>210</v>
      </c>
      <c r="B64" s="178">
        <f>Jobs_Per_MW!O43</f>
        <v>5.4102222992800604</v>
      </c>
      <c r="C64" s="180"/>
      <c r="D64" s="167">
        <f>$B64*Aurora_Output!D39</f>
        <v>0</v>
      </c>
      <c r="E64" s="86">
        <f>$B64*Aurora_Output!E39</f>
        <v>0</v>
      </c>
      <c r="F64" s="86">
        <f>$B64*Aurora_Output!F39</f>
        <v>805.90670874755131</v>
      </c>
      <c r="G64" s="86">
        <f>$B64*Aurora_Output!G39</f>
        <v>807.20515054189684</v>
      </c>
      <c r="H64" s="86">
        <f>$B64*Aurora_Output!H39</f>
        <v>2421.6154516256906</v>
      </c>
      <c r="I64" s="86">
        <f>$B64*Aurora_Output!I39</f>
        <v>809.9102616915369</v>
      </c>
      <c r="J64" s="86">
        <f>$B64*Aurora_Output!J39</f>
        <v>807.20515054189684</v>
      </c>
      <c r="K64" s="86">
        <f>$B64*Aurora_Output!K39</f>
        <v>810.18078931718901</v>
      </c>
      <c r="L64" s="86">
        <f>$B64*Aurora_Output!L39</f>
        <v>1612.8413729405165</v>
      </c>
      <c r="M64" s="86">
        <f>$B64*Aurora_Output!M39</f>
        <v>0</v>
      </c>
      <c r="N64" s="86">
        <f>$B64*Aurora_Output!N39</f>
        <v>806.9346641929651</v>
      </c>
      <c r="O64" s="86">
        <f>$B64*Aurora_Output!O39</f>
        <v>2419.7760371334816</v>
      </c>
      <c r="P64" s="86">
        <f>$B64*Aurora_Output!P39</f>
        <v>0</v>
      </c>
      <c r="Q64" s="86">
        <f>$B64*Aurora_Output!Q39</f>
        <v>1617.3859811358063</v>
      </c>
      <c r="R64" s="86">
        <f>$B64*Aurora_Output!R39</f>
        <v>0</v>
      </c>
      <c r="S64" s="86">
        <f>$B64*Aurora_Output!S39</f>
        <v>3227.4681291462084</v>
      </c>
      <c r="T64" s="86">
        <f>$B64*Aurora_Output!T39</f>
        <v>2420.3170098313449</v>
      </c>
      <c r="U64" s="86">
        <f>$B64*Aurora_Output!U39</f>
        <v>0</v>
      </c>
      <c r="V64" s="86">
        <f>$B64*Aurora_Output!V39</f>
        <v>0</v>
      </c>
      <c r="W64" s="86">
        <f>$B64*Aurora_Output!W39</f>
        <v>1617.9269951103902</v>
      </c>
      <c r="X64" s="12"/>
      <c r="Y64" s="12"/>
    </row>
    <row r="65" spans="1:25" x14ac:dyDescent="0.3">
      <c r="A65" s="55" t="s">
        <v>211</v>
      </c>
      <c r="B65" s="178">
        <f>Jobs_Per_MW!O44</f>
        <v>5.4102222992800604</v>
      </c>
      <c r="C65" s="180"/>
      <c r="D65" s="167">
        <f>$B65*Aurora_Output!D40</f>
        <v>2695.1022466417062</v>
      </c>
      <c r="E65" s="86">
        <f>$B65*Aurora_Output!E40</f>
        <v>2693.8578773511149</v>
      </c>
      <c r="F65" s="86">
        <f>$B65*Aurora_Output!F40</f>
        <v>4045.4937655633858</v>
      </c>
      <c r="G65" s="86">
        <f>$B65*Aurora_Output!G40</f>
        <v>2695.1563191454602</v>
      </c>
      <c r="H65" s="86">
        <f>$B65*Aurora_Output!H40</f>
        <v>1349.0389220701391</v>
      </c>
      <c r="I65" s="86">
        <f>$B65*Aurora_Output!I40</f>
        <v>2699.1598720894458</v>
      </c>
      <c r="J65" s="86">
        <f>$B65*Aurora_Output!J40</f>
        <v>2697.536830165694</v>
      </c>
      <c r="K65" s="86">
        <f>$B65*Aurora_Output!K40</f>
        <v>1349.0389220701391</v>
      </c>
      <c r="L65" s="86">
        <f>$B65*Aurora_Output!L40</f>
        <v>1346.9289386755574</v>
      </c>
      <c r="M65" s="86">
        <f>$B65*Aurora_Output!M40</f>
        <v>2696.454760939806</v>
      </c>
      <c r="N65" s="86">
        <f>$B65*Aurora_Output!N40</f>
        <v>2693.8578773511149</v>
      </c>
      <c r="O65" s="86">
        <f>$B65*Aurora_Output!O40</f>
        <v>2694.0742911962925</v>
      </c>
      <c r="P65" s="86">
        <f>$B65*Aurora_Output!P40</f>
        <v>1346.9289386755574</v>
      </c>
      <c r="Q65" s="86">
        <f>$B65*Aurora_Output!Q40</f>
        <v>1347.6863664953189</v>
      </c>
      <c r="R65" s="86">
        <f>$B65*Aurora_Output!R40</f>
        <v>1346.9289386755574</v>
      </c>
      <c r="S65" s="86">
        <f>$B65*Aurora_Output!S40</f>
        <v>2695.9137882419423</v>
      </c>
      <c r="T65" s="86">
        <f>$B65*Aurora_Output!T40</f>
        <v>1347.4158801463873</v>
      </c>
      <c r="U65" s="86">
        <f>$B65*Aurora_Output!U40</f>
        <v>0</v>
      </c>
      <c r="V65" s="86">
        <f>$B65*Aurora_Output!V40</f>
        <v>0</v>
      </c>
      <c r="W65" s="86">
        <f>$B65*Aurora_Output!W40</f>
        <v>8092.34000414815</v>
      </c>
      <c r="X65" s="12"/>
      <c r="Y65" s="12"/>
    </row>
    <row r="66" spans="1:25" x14ac:dyDescent="0.3">
      <c r="A66" s="55" t="s">
        <v>212</v>
      </c>
      <c r="B66" s="178">
        <f>Jobs_Per_MW!O45</f>
        <v>0.85963901822951316</v>
      </c>
      <c r="C66" s="180"/>
      <c r="D66" s="167">
        <f>$B66*Aurora_Output!D41</f>
        <v>0</v>
      </c>
      <c r="E66" s="86">
        <f>$B66*Aurora_Output!E41</f>
        <v>0</v>
      </c>
      <c r="F66" s="86">
        <f>$B66*Aurora_Output!F41</f>
        <v>0</v>
      </c>
      <c r="G66" s="86">
        <f>$B66*Aurora_Output!G41</f>
        <v>0</v>
      </c>
      <c r="H66" s="86">
        <f>$B66*Aurora_Output!H41</f>
        <v>0</v>
      </c>
      <c r="I66" s="86">
        <f>$B66*Aurora_Output!I41</f>
        <v>0</v>
      </c>
      <c r="J66" s="86">
        <f>$B66*Aurora_Output!J41</f>
        <v>0</v>
      </c>
      <c r="K66" s="86">
        <f>$B66*Aurora_Output!K41</f>
        <v>0</v>
      </c>
      <c r="L66" s="86">
        <f>$B66*Aurora_Output!L41</f>
        <v>0</v>
      </c>
      <c r="M66" s="86">
        <f>$B66*Aurora_Output!M41</f>
        <v>0</v>
      </c>
      <c r="N66" s="86">
        <f>$B66*Aurora_Output!N41</f>
        <v>0</v>
      </c>
      <c r="O66" s="86">
        <f>$B66*Aurora_Output!O41</f>
        <v>0</v>
      </c>
      <c r="P66" s="86">
        <f>$B66*Aurora_Output!P41</f>
        <v>0</v>
      </c>
      <c r="Q66" s="86">
        <f>$B66*Aurora_Output!Q41</f>
        <v>0</v>
      </c>
      <c r="R66" s="86">
        <f>$B66*Aurora_Output!R41</f>
        <v>0</v>
      </c>
      <c r="S66" s="86">
        <f>$B66*Aurora_Output!S41</f>
        <v>0</v>
      </c>
      <c r="T66" s="86">
        <f>$B66*Aurora_Output!T41</f>
        <v>0</v>
      </c>
      <c r="U66" s="86">
        <f>$B66*Aurora_Output!U41</f>
        <v>0</v>
      </c>
      <c r="V66" s="86">
        <f>$B66*Aurora_Output!V41</f>
        <v>0</v>
      </c>
      <c r="W66" s="86">
        <f>$B66*Aurora_Output!W41</f>
        <v>0</v>
      </c>
      <c r="X66" s="12"/>
      <c r="Y66" s="12"/>
    </row>
    <row r="67" spans="1:25" x14ac:dyDescent="0.3">
      <c r="A67" s="55" t="s">
        <v>213</v>
      </c>
      <c r="B67" s="178">
        <f>Jobs_Per_MW!O46</f>
        <v>0.55584066874549198</v>
      </c>
      <c r="C67" s="180"/>
      <c r="D67" s="167">
        <f>$B67*Aurora_Output!D42</f>
        <v>0</v>
      </c>
      <c r="E67" s="86">
        <f>$B67*Aurora_Output!E42</f>
        <v>0</v>
      </c>
      <c r="F67" s="86">
        <f>$B67*Aurora_Output!F42</f>
        <v>0</v>
      </c>
      <c r="G67" s="86">
        <f>$B67*Aurora_Output!G42</f>
        <v>0</v>
      </c>
      <c r="H67" s="86">
        <f>$B67*Aurora_Output!H42</f>
        <v>0</v>
      </c>
      <c r="I67" s="86">
        <f>$B67*Aurora_Output!I42</f>
        <v>0</v>
      </c>
      <c r="J67" s="86">
        <f>$B67*Aurora_Output!J42</f>
        <v>0</v>
      </c>
      <c r="K67" s="86">
        <f>$B67*Aurora_Output!K42</f>
        <v>0</v>
      </c>
      <c r="L67" s="86">
        <f>$B67*Aurora_Output!L42</f>
        <v>138.96016718637298</v>
      </c>
      <c r="M67" s="86">
        <f>$B67*Aurora_Output!M42</f>
        <v>0</v>
      </c>
      <c r="N67" s="86">
        <f>$B67*Aurora_Output!N42</f>
        <v>138.96016718637298</v>
      </c>
      <c r="O67" s="86">
        <f>$B67*Aurora_Output!O42</f>
        <v>138.96016718637298</v>
      </c>
      <c r="P67" s="86">
        <f>$B67*Aurora_Output!P42</f>
        <v>138.96016718637298</v>
      </c>
      <c r="Q67" s="86">
        <f>$B67*Aurora_Output!Q42</f>
        <v>138.96016718637298</v>
      </c>
      <c r="R67" s="86">
        <f>$B67*Aurora_Output!R42</f>
        <v>138.96016718637298</v>
      </c>
      <c r="S67" s="86">
        <f>$B67*Aurora_Output!S42</f>
        <v>0</v>
      </c>
      <c r="T67" s="86">
        <f>$B67*Aurora_Output!T42</f>
        <v>0</v>
      </c>
      <c r="U67" s="86">
        <f>$B67*Aurora_Output!U42</f>
        <v>0</v>
      </c>
      <c r="V67" s="86">
        <f>$B67*Aurora_Output!V42</f>
        <v>0</v>
      </c>
      <c r="W67" s="86">
        <f>$B67*Aurora_Output!W42</f>
        <v>55.584066874549201</v>
      </c>
      <c r="X67" s="12"/>
      <c r="Y67" s="12"/>
    </row>
    <row r="68" spans="1:25" x14ac:dyDescent="0.3">
      <c r="A68" s="190" t="s">
        <v>214</v>
      </c>
      <c r="B68" s="189">
        <f>Jobs_Per_MW!O47</f>
        <v>0.90072289301123487</v>
      </c>
      <c r="C68" s="180"/>
      <c r="D68" s="167">
        <f>$B68*Aurora_Output!D43</f>
        <v>0</v>
      </c>
      <c r="E68" s="86">
        <f>$B68*Aurora_Output!E43</f>
        <v>0</v>
      </c>
      <c r="F68" s="86">
        <f>$B68*Aurora_Output!F43</f>
        <v>0</v>
      </c>
      <c r="G68" s="86">
        <f>$B68*Aurora_Output!G43</f>
        <v>0</v>
      </c>
      <c r="H68" s="86">
        <f>$B68*Aurora_Output!H43</f>
        <v>0</v>
      </c>
      <c r="I68" s="86">
        <f>$B68*Aurora_Output!I43</f>
        <v>0</v>
      </c>
      <c r="J68" s="86">
        <f>$B68*Aurora_Output!J43</f>
        <v>0</v>
      </c>
      <c r="K68" s="86">
        <f>$B68*Aurora_Output!K43</f>
        <v>0</v>
      </c>
      <c r="L68" s="86">
        <f>$B68*Aurora_Output!L43</f>
        <v>0</v>
      </c>
      <c r="M68" s="86">
        <f>$B68*Aurora_Output!M43</f>
        <v>0</v>
      </c>
      <c r="N68" s="86">
        <f>$B68*Aurora_Output!N43</f>
        <v>0</v>
      </c>
      <c r="O68" s="86">
        <f>$B68*Aurora_Output!O43</f>
        <v>0</v>
      </c>
      <c r="P68" s="86">
        <f>$B68*Aurora_Output!P43</f>
        <v>0</v>
      </c>
      <c r="Q68" s="86">
        <f>$B68*Aurora_Output!Q43</f>
        <v>0</v>
      </c>
      <c r="R68" s="86">
        <f>$B68*Aurora_Output!R43</f>
        <v>0</v>
      </c>
      <c r="S68" s="86">
        <f>$B68*Aurora_Output!S43</f>
        <v>0</v>
      </c>
      <c r="T68" s="86">
        <f>$B68*Aurora_Output!T43</f>
        <v>0</v>
      </c>
      <c r="U68" s="86">
        <f>$B68*Aurora_Output!U43</f>
        <v>0</v>
      </c>
      <c r="V68" s="86">
        <f>$B68*Aurora_Output!V43</f>
        <v>0</v>
      </c>
      <c r="W68" s="86">
        <f>$B68*Aurora_Output!W43</f>
        <v>0</v>
      </c>
      <c r="X68" s="12"/>
      <c r="Y68" s="12"/>
    </row>
    <row r="69" spans="1:25" x14ac:dyDescent="0.3">
      <c r="A69" s="190" t="s">
        <v>215</v>
      </c>
      <c r="B69" s="189">
        <f>Jobs_Per_MW!O48</f>
        <v>5.4102222992800604</v>
      </c>
      <c r="C69" s="180"/>
      <c r="D69" s="167">
        <f>$B69*Aurora_Output!D44</f>
        <v>0</v>
      </c>
      <c r="E69" s="86">
        <f>$B69*Aurora_Output!E44</f>
        <v>0</v>
      </c>
      <c r="F69" s="86">
        <f>$B69*Aurora_Output!F44</f>
        <v>0</v>
      </c>
      <c r="G69" s="86">
        <f>$B69*Aurora_Output!G44</f>
        <v>0</v>
      </c>
      <c r="H69" s="86">
        <f>$B69*Aurora_Output!H44</f>
        <v>0</v>
      </c>
      <c r="I69" s="86">
        <f>$B69*Aurora_Output!I44</f>
        <v>0</v>
      </c>
      <c r="J69" s="86">
        <f>$B69*Aurora_Output!J44</f>
        <v>0</v>
      </c>
      <c r="K69" s="86">
        <f>$B69*Aurora_Output!K44</f>
        <v>0</v>
      </c>
      <c r="L69" s="86">
        <f>$B69*Aurora_Output!L44</f>
        <v>0</v>
      </c>
      <c r="M69" s="86">
        <f>$B69*Aurora_Output!M44</f>
        <v>0</v>
      </c>
      <c r="N69" s="86">
        <f>$B69*Aurora_Output!N44</f>
        <v>0</v>
      </c>
      <c r="O69" s="86">
        <f>$B69*Aurora_Output!O44</f>
        <v>0</v>
      </c>
      <c r="P69" s="86">
        <f>$B69*Aurora_Output!P44</f>
        <v>0</v>
      </c>
      <c r="Q69" s="86">
        <f>$B69*Aurora_Output!Q44</f>
        <v>0</v>
      </c>
      <c r="R69" s="86">
        <f>$B69*Aurora_Output!R44</f>
        <v>0</v>
      </c>
      <c r="S69" s="86">
        <f>$B69*Aurora_Output!S44</f>
        <v>0</v>
      </c>
      <c r="T69" s="86">
        <f>$B69*Aurora_Output!T44</f>
        <v>54.102222992800606</v>
      </c>
      <c r="U69" s="86">
        <f>$B69*Aurora_Output!U44</f>
        <v>0</v>
      </c>
      <c r="V69" s="86">
        <f>$B69*Aurora_Output!V44</f>
        <v>0</v>
      </c>
      <c r="W69" s="86">
        <f>$B69*Aurora_Output!W44</f>
        <v>54.102222992800606</v>
      </c>
    </row>
    <row r="70" spans="1:25" x14ac:dyDescent="0.3">
      <c r="A70" s="22" t="s">
        <v>216</v>
      </c>
      <c r="B70" s="189">
        <f>Jobs_Per_MW!O49</f>
        <v>5.4102222992800604</v>
      </c>
      <c r="C70" s="180"/>
      <c r="D70" s="167">
        <f>$B70*Aurora_Output!D45</f>
        <v>0</v>
      </c>
      <c r="E70" s="86">
        <f>$B70*Aurora_Output!E45</f>
        <v>0</v>
      </c>
      <c r="F70" s="86">
        <f>$B70*Aurora_Output!F45</f>
        <v>0</v>
      </c>
      <c r="G70" s="86">
        <f>$B70*Aurora_Output!G45</f>
        <v>3246.1333795680362</v>
      </c>
      <c r="H70" s="86">
        <f>$B70*Aurora_Output!H45</f>
        <v>0</v>
      </c>
      <c r="I70" s="86">
        <f>$B70*Aurora_Output!I45</f>
        <v>0</v>
      </c>
      <c r="J70" s="86">
        <f>$B70*Aurora_Output!J45</f>
        <v>0</v>
      </c>
      <c r="K70" s="86">
        <f>$B70*Aurora_Output!K45</f>
        <v>0</v>
      </c>
      <c r="L70" s="86">
        <f>$B70*Aurora_Output!L45</f>
        <v>0</v>
      </c>
      <c r="M70" s="86">
        <f>$B70*Aurora_Output!M45</f>
        <v>0</v>
      </c>
      <c r="N70" s="86">
        <f>$B70*Aurora_Output!N45</f>
        <v>0</v>
      </c>
      <c r="O70" s="86">
        <f>$B70*Aurora_Output!O45</f>
        <v>0</v>
      </c>
      <c r="P70" s="86">
        <f>$B70*Aurora_Output!P45</f>
        <v>3246.1333795680362</v>
      </c>
      <c r="Q70" s="86">
        <f>$B70*Aurora_Output!Q45</f>
        <v>3246.1333795680362</v>
      </c>
      <c r="R70" s="86">
        <f>$B70*Aurora_Output!R45</f>
        <v>3246.1333795680362</v>
      </c>
      <c r="S70" s="86">
        <f>$B70*Aurora_Output!S45</f>
        <v>0</v>
      </c>
      <c r="T70" s="86">
        <f>$B70*Aurora_Output!T45</f>
        <v>3354.3378255536372</v>
      </c>
      <c r="U70" s="86">
        <f>$B70*Aurora_Output!U45</f>
        <v>0</v>
      </c>
      <c r="V70" s="86">
        <f>$B70*Aurora_Output!V45</f>
        <v>0</v>
      </c>
      <c r="W70" s="86">
        <f>$B70*Aurora_Output!W45</f>
        <v>0</v>
      </c>
    </row>
    <row r="71" spans="1:25" x14ac:dyDescent="0.3">
      <c r="A71" t="s">
        <v>217</v>
      </c>
      <c r="B71" s="178">
        <f>Jobs_Per_MW!O50</f>
        <v>5.4102222992800604</v>
      </c>
      <c r="C71" s="180"/>
      <c r="D71" s="167">
        <f>$B71*Aurora_Output!D46</f>
        <v>120.43154962027577</v>
      </c>
      <c r="E71" s="86">
        <f>$B71*Aurora_Output!E46</f>
        <v>120.43154962027577</v>
      </c>
      <c r="F71" s="86">
        <f>$B71*Aurora_Output!F46</f>
        <v>120.43154962027577</v>
      </c>
      <c r="G71" s="86">
        <f>$B71*Aurora_Output!G46</f>
        <v>120.43154962027577</v>
      </c>
      <c r="H71" s="86">
        <f>$B71*Aurora_Output!H46</f>
        <v>120.43154962027577</v>
      </c>
      <c r="I71" s="86">
        <f>$B71*Aurora_Output!I46</f>
        <v>120.43154962027577</v>
      </c>
      <c r="J71" s="86">
        <f>$B71*Aurora_Output!J46</f>
        <v>120.43154962027577</v>
      </c>
      <c r="K71" s="86">
        <f>$B71*Aurora_Output!K46</f>
        <v>120.43154962027577</v>
      </c>
      <c r="L71" s="86">
        <f>$B71*Aurora_Output!L46</f>
        <v>120.43154962027577</v>
      </c>
      <c r="M71" s="86">
        <f>$B71*Aurora_Output!M46</f>
        <v>120.43154962027577</v>
      </c>
      <c r="N71" s="86">
        <f>$B71*Aurora_Output!N46</f>
        <v>120.43154962027577</v>
      </c>
      <c r="O71" s="86">
        <f>$B71*Aurora_Output!O46</f>
        <v>120.43154962027577</v>
      </c>
      <c r="P71" s="86">
        <f>$B71*Aurora_Output!P46</f>
        <v>120.43154962027577</v>
      </c>
      <c r="Q71" s="86">
        <f>$B71*Aurora_Output!Q46</f>
        <v>120.43154962027577</v>
      </c>
      <c r="R71" s="86">
        <f>$B71*Aurora_Output!R46</f>
        <v>120.43154962027577</v>
      </c>
      <c r="S71" s="86">
        <f>$B71*Aurora_Output!S46</f>
        <v>120.43154962027577</v>
      </c>
      <c r="T71" s="86">
        <f>$B71*Aurora_Output!T46</f>
        <v>120.43154962027577</v>
      </c>
      <c r="U71" s="86">
        <f>$B71*Aurora_Output!U46</f>
        <v>0</v>
      </c>
      <c r="V71" s="86">
        <f>$B71*Aurora_Output!V46</f>
        <v>120.43154962027577</v>
      </c>
      <c r="W71" s="86">
        <f>$B71*Aurora_Output!W46</f>
        <v>120.43154962027577</v>
      </c>
    </row>
    <row r="72" spans="1:25" x14ac:dyDescent="0.3">
      <c r="A72" t="s">
        <v>218</v>
      </c>
      <c r="B72" s="178">
        <f>Jobs_Per_MW!O51</f>
        <v>14.749338694318062</v>
      </c>
      <c r="C72" s="180"/>
      <c r="D72" s="167">
        <f>$B72*Aurora_Output!D47</f>
        <v>1351.0394018938298</v>
      </c>
      <c r="E72" s="86">
        <f>$B72*Aurora_Output!E47</f>
        <v>1351.0394018938298</v>
      </c>
      <c r="F72" s="86">
        <f>$B72*Aurora_Output!F47</f>
        <v>1351.0394018938298</v>
      </c>
      <c r="G72" s="86">
        <f>$B72*Aurora_Output!G47</f>
        <v>1351.0394018938298</v>
      </c>
      <c r="H72" s="86">
        <f>$B72*Aurora_Output!H47</f>
        <v>1351.0394018938298</v>
      </c>
      <c r="I72" s="86">
        <f>$B72*Aurora_Output!I47</f>
        <v>1351.0394018938298</v>
      </c>
      <c r="J72" s="86">
        <f>$B72*Aurora_Output!J47</f>
        <v>1351.0394018938298</v>
      </c>
      <c r="K72" s="86">
        <f>$B72*Aurora_Output!K47</f>
        <v>1351.0394018938298</v>
      </c>
      <c r="L72" s="86">
        <f>$B72*Aurora_Output!L47</f>
        <v>1351.0394018938298</v>
      </c>
      <c r="M72" s="86">
        <f>$B72*Aurora_Output!M47</f>
        <v>1351.0394018938298</v>
      </c>
      <c r="N72" s="86">
        <f>$B72*Aurora_Output!N47</f>
        <v>1351.0394018938298</v>
      </c>
      <c r="O72" s="86">
        <f>$B72*Aurora_Output!O47</f>
        <v>1351.0394018938298</v>
      </c>
      <c r="P72" s="86">
        <f>$B72*Aurora_Output!P47</f>
        <v>1351.0394018938298</v>
      </c>
      <c r="Q72" s="86">
        <f>$B72*Aurora_Output!Q47</f>
        <v>1351.0394018938298</v>
      </c>
      <c r="R72" s="86">
        <f>$B72*Aurora_Output!R47</f>
        <v>1351.0394018938298</v>
      </c>
      <c r="S72" s="86">
        <f>$B72*Aurora_Output!S47</f>
        <v>1351.0394018938298</v>
      </c>
      <c r="T72" s="86">
        <f>$B72*Aurora_Output!T47</f>
        <v>1351.0394018938298</v>
      </c>
      <c r="U72" s="86">
        <f>$B72*Aurora_Output!U47</f>
        <v>0</v>
      </c>
      <c r="V72" s="86">
        <f>$B72*Aurora_Output!V47</f>
        <v>1351.0394018938298</v>
      </c>
      <c r="W72" s="86">
        <f>$B72*Aurora_Output!W47</f>
        <v>1351.0394018938298</v>
      </c>
    </row>
    <row r="73" spans="1:25" x14ac:dyDescent="0.3">
      <c r="A73" t="s">
        <v>219</v>
      </c>
      <c r="B73" s="178">
        <f>Jobs_Per_MW!O52</f>
        <v>60.545669315055285</v>
      </c>
      <c r="C73" s="180"/>
      <c r="D73" s="167">
        <f>$B73*Aurora_Output!D48</f>
        <v>24516.757872569589</v>
      </c>
      <c r="E73" s="86">
        <f>$B73*Aurora_Output!E48</f>
        <v>21800.073610720687</v>
      </c>
      <c r="F73" s="86">
        <f>$B73*Aurora_Output!F48</f>
        <v>24069.930854966005</v>
      </c>
      <c r="G73" s="86">
        <f>$B73*Aurora_Output!G48</f>
        <v>22008.956172744671</v>
      </c>
      <c r="H73" s="86">
        <f>$B73*Aurora_Output!H48</f>
        <v>21800.073610720687</v>
      </c>
      <c r="I73" s="86">
        <f>$B73*Aurora_Output!I48</f>
        <v>21800.073610720687</v>
      </c>
      <c r="J73" s="86">
        <f>$B73*Aurora_Output!J48</f>
        <v>21800.073610720687</v>
      </c>
      <c r="K73" s="86">
        <f>$B73*Aurora_Output!K48</f>
        <v>22005.928892165961</v>
      </c>
      <c r="L73" s="86">
        <f>$B73*Aurora_Output!L48</f>
        <v>21800.073610720687</v>
      </c>
      <c r="M73" s="86">
        <f>$B73*Aurora_Output!M48</f>
        <v>21800.073610720687</v>
      </c>
      <c r="N73" s="86">
        <f>$B73*Aurora_Output!N48</f>
        <v>24069.930854966005</v>
      </c>
      <c r="O73" s="86">
        <f>$B73*Aurora_Output!O48</f>
        <v>22005.928892165961</v>
      </c>
      <c r="P73" s="86">
        <f>$B73*Aurora_Output!P48</f>
        <v>24169.225701253341</v>
      </c>
      <c r="Q73" s="86">
        <f>$B73*Aurora_Output!Q48</f>
        <v>21800.073610720687</v>
      </c>
      <c r="R73" s="86">
        <f>$B73*Aurora_Output!R48</f>
        <v>27017.899396334011</v>
      </c>
      <c r="S73" s="86">
        <f>$B73*Aurora_Output!S48</f>
        <v>21800.073610720687</v>
      </c>
      <c r="T73" s="86">
        <f>$B73*Aurora_Output!T48</f>
        <v>27017.899396334011</v>
      </c>
      <c r="U73" s="86">
        <f>$B73*Aurora_Output!U48</f>
        <v>0</v>
      </c>
      <c r="V73" s="86">
        <f>$B73*Aurora_Output!V48</f>
        <v>22007.745260513184</v>
      </c>
      <c r="W73" s="86">
        <f>$B73*Aurora_Output!W48</f>
        <v>21800.073610720687</v>
      </c>
    </row>
    <row r="74" spans="1:25" x14ac:dyDescent="0.3">
      <c r="A74" t="s">
        <v>220</v>
      </c>
      <c r="B74" s="178">
        <f>Jobs_Per_MW!O53</f>
        <v>60.545669315055285</v>
      </c>
      <c r="C74" s="180"/>
      <c r="D74" s="167">
        <f>$B74*Aurora_Output!D49</f>
        <v>0</v>
      </c>
      <c r="E74" s="86">
        <f>$B74*Aurora_Output!E49</f>
        <v>648.92382170222538</v>
      </c>
      <c r="F74" s="86">
        <f>$B74*Aurora_Output!F49</f>
        <v>648.92382170222538</v>
      </c>
      <c r="G74" s="86">
        <f>$B74*Aurora_Output!G49</f>
        <v>0</v>
      </c>
      <c r="H74" s="86">
        <f>$B74*Aurora_Output!H49</f>
        <v>0</v>
      </c>
      <c r="I74" s="86">
        <f>$B74*Aurora_Output!I49</f>
        <v>0</v>
      </c>
      <c r="J74" s="86">
        <f>$B74*Aurora_Output!J49</f>
        <v>0</v>
      </c>
      <c r="K74" s="86">
        <f>$B74*Aurora_Output!K49</f>
        <v>0</v>
      </c>
      <c r="L74" s="86">
        <f>$B74*Aurora_Output!L49</f>
        <v>0</v>
      </c>
      <c r="M74" s="86">
        <f>$B74*Aurora_Output!M49</f>
        <v>0</v>
      </c>
      <c r="N74" s="86">
        <f>$B74*Aurora_Output!N49</f>
        <v>648.92382170222538</v>
      </c>
      <c r="O74" s="86">
        <f>$B74*Aurora_Output!O49</f>
        <v>648.92382170222538</v>
      </c>
      <c r="P74" s="86">
        <f>$B74*Aurora_Output!P49</f>
        <v>648.92382170222538</v>
      </c>
      <c r="Q74" s="86">
        <f>$B74*Aurora_Output!Q49</f>
        <v>648.92382170222538</v>
      </c>
      <c r="R74" s="86">
        <f>$B74*Aurora_Output!R49</f>
        <v>648.92382170222538</v>
      </c>
      <c r="S74" s="86">
        <f>$B74*Aurora_Output!S49</f>
        <v>648.92382170222538</v>
      </c>
      <c r="T74" s="86">
        <f>$B74*Aurora_Output!T49</f>
        <v>648.92382170222538</v>
      </c>
      <c r="U74" s="86">
        <f>$B74*Aurora_Output!U49</f>
        <v>0</v>
      </c>
      <c r="V74" s="86">
        <f>$B74*Aurora_Output!V49</f>
        <v>0</v>
      </c>
      <c r="W74" s="86">
        <f>$B74*Aurora_Output!W49</f>
        <v>0</v>
      </c>
    </row>
    <row r="75" spans="1:25" x14ac:dyDescent="0.3">
      <c r="A75" t="s">
        <v>221</v>
      </c>
      <c r="B75" s="178">
        <f>Jobs_Per_MW!O54</f>
        <v>60.545669315055285</v>
      </c>
      <c r="C75" s="180"/>
      <c r="D75" s="167">
        <f>$B75*Aurora_Output!D50</f>
        <v>26454.811672655684</v>
      </c>
      <c r="E75" s="86">
        <f>$B75*Aurora_Output!E50</f>
        <v>26454.811672655684</v>
      </c>
      <c r="F75" s="86">
        <f>$B75*Aurora_Output!F50</f>
        <v>26454.811672655684</v>
      </c>
      <c r="G75" s="86">
        <f>$B75*Aurora_Output!G50</f>
        <v>26454.811672655684</v>
      </c>
      <c r="H75" s="86">
        <f>$B75*Aurora_Output!H50</f>
        <v>26454.811672655684</v>
      </c>
      <c r="I75" s="86">
        <f>$B75*Aurora_Output!I50</f>
        <v>26454.811672655684</v>
      </c>
      <c r="J75" s="86">
        <f>$B75*Aurora_Output!J50</f>
        <v>26454.811672655684</v>
      </c>
      <c r="K75" s="86">
        <f>$B75*Aurora_Output!K50</f>
        <v>26454.811672655684</v>
      </c>
      <c r="L75" s="86">
        <f>$B75*Aurora_Output!L50</f>
        <v>26454.811672655684</v>
      </c>
      <c r="M75" s="86">
        <f>$B75*Aurora_Output!M50</f>
        <v>26454.811672655684</v>
      </c>
      <c r="N75" s="86">
        <f>$B75*Aurora_Output!N50</f>
        <v>26454.811672655684</v>
      </c>
      <c r="O75" s="86">
        <f>$B75*Aurora_Output!O50</f>
        <v>26454.811672655684</v>
      </c>
      <c r="P75" s="86">
        <f>$B75*Aurora_Output!P50</f>
        <v>26454.811672655684</v>
      </c>
      <c r="Q75" s="86">
        <f>$B75*Aurora_Output!Q50</f>
        <v>26454.811672655684</v>
      </c>
      <c r="R75" s="86">
        <f>$B75*Aurora_Output!R50</f>
        <v>26454.811672655684</v>
      </c>
      <c r="S75" s="86">
        <f>$B75*Aurora_Output!S50</f>
        <v>26454.811672655684</v>
      </c>
      <c r="T75" s="86">
        <f>$B75*Aurora_Output!T50</f>
        <v>26454.811672655684</v>
      </c>
      <c r="U75" s="86">
        <f>$B75*Aurora_Output!U50</f>
        <v>0</v>
      </c>
      <c r="V75" s="86">
        <f>$B75*Aurora_Output!V50</f>
        <v>26454.811672655684</v>
      </c>
      <c r="W75" s="86">
        <f>$B75*Aurora_Output!W50</f>
        <v>26454.811672655684</v>
      </c>
    </row>
    <row r="76" spans="1:25" x14ac:dyDescent="0.3">
      <c r="A76" t="s">
        <v>222</v>
      </c>
      <c r="B76" s="178">
        <f>Jobs_Per_MW!O55</f>
        <v>60.545669315055285</v>
      </c>
      <c r="C76" s="180"/>
      <c r="D76" s="167">
        <f>$B76*Aurora_Output!D51</f>
        <v>84347.402178965043</v>
      </c>
      <c r="E76" s="86">
        <f>$B76*Aurora_Output!E51</f>
        <v>84347.402178965043</v>
      </c>
      <c r="F76" s="86">
        <f>$B76*Aurora_Output!F51</f>
        <v>84347.402178965043</v>
      </c>
      <c r="G76" s="86">
        <f>$B76*Aurora_Output!G51</f>
        <v>84347.402178965043</v>
      </c>
      <c r="H76" s="86">
        <f>$B76*Aurora_Output!H51</f>
        <v>84347.402178965043</v>
      </c>
      <c r="I76" s="86">
        <f>$B76*Aurora_Output!I51</f>
        <v>84347.402178965043</v>
      </c>
      <c r="J76" s="86">
        <f>$B76*Aurora_Output!J51</f>
        <v>84347.402178965043</v>
      </c>
      <c r="K76" s="86">
        <f>$B76*Aurora_Output!K51</f>
        <v>84347.402178965043</v>
      </c>
      <c r="L76" s="86">
        <f>$B76*Aurora_Output!L51</f>
        <v>84347.402178965043</v>
      </c>
      <c r="M76" s="86">
        <f>$B76*Aurora_Output!M51</f>
        <v>84347.402178965043</v>
      </c>
      <c r="N76" s="86">
        <f>$B76*Aurora_Output!N51</f>
        <v>84347.402178965043</v>
      </c>
      <c r="O76" s="86">
        <f>$B76*Aurora_Output!O51</f>
        <v>84347.402178965043</v>
      </c>
      <c r="P76" s="86">
        <f>$B76*Aurora_Output!P51</f>
        <v>84347.402178965043</v>
      </c>
      <c r="Q76" s="86">
        <f>$B76*Aurora_Output!Q51</f>
        <v>84347.402178965043</v>
      </c>
      <c r="R76" s="86">
        <f>$B76*Aurora_Output!R51</f>
        <v>84347.402178965043</v>
      </c>
      <c r="S76" s="86">
        <f>$B76*Aurora_Output!S51</f>
        <v>84347.402178965043</v>
      </c>
      <c r="T76" s="86">
        <f>$B76*Aurora_Output!T51</f>
        <v>84347.402178965043</v>
      </c>
      <c r="U76" s="86">
        <f>$B76*Aurora_Output!U51</f>
        <v>0</v>
      </c>
      <c r="V76" s="86">
        <f>$B76*Aurora_Output!V51</f>
        <v>84347.402178965043</v>
      </c>
      <c r="W76" s="86">
        <f>$B76*Aurora_Output!W51</f>
        <v>84347.402178965043</v>
      </c>
    </row>
    <row r="77" spans="1:25" x14ac:dyDescent="0.3">
      <c r="A77" t="s">
        <v>223</v>
      </c>
      <c r="B77" s="178">
        <f>Jobs_Per_MW!O56</f>
        <v>60.545669315055285</v>
      </c>
      <c r="C77" s="180"/>
      <c r="D77" s="167">
        <f>$B77*Aurora_Output!D52</f>
        <v>15628.891928049645</v>
      </c>
      <c r="E77" s="86">
        <f>$B77*Aurora_Output!E52</f>
        <v>28761.110224361459</v>
      </c>
      <c r="F77" s="86">
        <f>$B77*Aurora_Output!F52</f>
        <v>22442.296744420924</v>
      </c>
      <c r="G77" s="86">
        <f>$B77*Aurora_Output!G52</f>
        <v>15628.891928049645</v>
      </c>
      <c r="H77" s="86">
        <f>$B77*Aurora_Output!H52</f>
        <v>15628.891928049645</v>
      </c>
      <c r="I77" s="86">
        <f>$B77*Aurora_Output!I52</f>
        <v>15628.891928049645</v>
      </c>
      <c r="J77" s="86">
        <f>$B77*Aurora_Output!J52</f>
        <v>15628.891928049645</v>
      </c>
      <c r="K77" s="86">
        <f>$B77*Aurora_Output!K52</f>
        <v>15628.891928049645</v>
      </c>
      <c r="L77" s="86">
        <f>$B77*Aurora_Output!L52</f>
        <v>15628.891928049645</v>
      </c>
      <c r="M77" s="86">
        <f>$B77*Aurora_Output!M52</f>
        <v>15628.891928049645</v>
      </c>
      <c r="N77" s="86">
        <f>$B77*Aurora_Output!N52</f>
        <v>22442.296744420924</v>
      </c>
      <c r="O77" s="86">
        <f>$B77*Aurora_Output!O52</f>
        <v>22442.296744420924</v>
      </c>
      <c r="P77" s="86">
        <f>$B77*Aurora_Output!P52</f>
        <v>22442.296744420924</v>
      </c>
      <c r="Q77" s="86">
        <f>$B77*Aurora_Output!Q52</f>
        <v>22442.296744420924</v>
      </c>
      <c r="R77" s="86">
        <f>$B77*Aurora_Output!R52</f>
        <v>22442.296744420924</v>
      </c>
      <c r="S77" s="86">
        <f>$B77*Aurora_Output!S52</f>
        <v>22442.296744420924</v>
      </c>
      <c r="T77" s="86">
        <f>$B77*Aurora_Output!T52</f>
        <v>22442.296744420924</v>
      </c>
      <c r="U77" s="86">
        <f>$B77*Aurora_Output!U52</f>
        <v>0</v>
      </c>
      <c r="V77" s="86">
        <f>$B77*Aurora_Output!V52</f>
        <v>15628.891928049645</v>
      </c>
      <c r="W77" s="86">
        <f>$B77*Aurora_Output!W52</f>
        <v>15628.891928049645</v>
      </c>
    </row>
    <row r="78" spans="1:25" x14ac:dyDescent="0.3">
      <c r="A78" t="s">
        <v>224</v>
      </c>
      <c r="B78" s="178">
        <f>Jobs_Per_MW!O57</f>
        <v>5.4102222992800604</v>
      </c>
      <c r="C78" s="180"/>
      <c r="D78" s="167">
        <f>$B78*Aurora_Output!D53</f>
        <v>427.40756164312478</v>
      </c>
      <c r="E78" s="86">
        <f>$B78*Aurora_Output!E53</f>
        <v>427.40756164312478</v>
      </c>
      <c r="F78" s="86">
        <f>$B78*Aurora_Output!F53</f>
        <v>427.40756164312478</v>
      </c>
      <c r="G78" s="86">
        <f>$B78*Aurora_Output!G53</f>
        <v>427.40756164312478</v>
      </c>
      <c r="H78" s="86">
        <f>$B78*Aurora_Output!H53</f>
        <v>427.40756164312478</v>
      </c>
      <c r="I78" s="86">
        <f>$B78*Aurora_Output!I53</f>
        <v>427.40756164312478</v>
      </c>
      <c r="J78" s="86">
        <f>$B78*Aurora_Output!J53</f>
        <v>427.40756164312478</v>
      </c>
      <c r="K78" s="86">
        <f>$B78*Aurora_Output!K53</f>
        <v>427.40756164312478</v>
      </c>
      <c r="L78" s="86">
        <f>$B78*Aurora_Output!L53</f>
        <v>427.40756164312478</v>
      </c>
      <c r="M78" s="86">
        <f>$B78*Aurora_Output!M53</f>
        <v>427.40756164312478</v>
      </c>
      <c r="N78" s="86">
        <f>$B78*Aurora_Output!N53</f>
        <v>427.40756164312478</v>
      </c>
      <c r="O78" s="86">
        <f>$B78*Aurora_Output!O53</f>
        <v>427.40756164312478</v>
      </c>
      <c r="P78" s="86">
        <f>$B78*Aurora_Output!P53</f>
        <v>427.40756164312478</v>
      </c>
      <c r="Q78" s="86">
        <f>$B78*Aurora_Output!Q53</f>
        <v>427.40756164312478</v>
      </c>
      <c r="R78" s="86">
        <f>$B78*Aurora_Output!R53</f>
        <v>427.40756164312478</v>
      </c>
      <c r="S78" s="86">
        <f>$B78*Aurora_Output!S53</f>
        <v>427.40756164312478</v>
      </c>
      <c r="T78" s="86">
        <f>$B78*Aurora_Output!T53</f>
        <v>427.40756164312478</v>
      </c>
      <c r="U78" s="86">
        <f>$B78*Aurora_Output!U53</f>
        <v>0</v>
      </c>
      <c r="V78" s="86">
        <f>$B78*Aurora_Output!V53</f>
        <v>427.40756164312478</v>
      </c>
      <c r="W78" s="86">
        <f>$B78*Aurora_Output!W53</f>
        <v>427.40756164312478</v>
      </c>
    </row>
    <row r="79" spans="1:25" x14ac:dyDescent="0.3">
      <c r="A79" t="s">
        <v>225</v>
      </c>
      <c r="B79" s="178">
        <f>Jobs_Per_MW!O58</f>
        <v>14.749338694318062</v>
      </c>
      <c r="C79" s="180"/>
      <c r="D79" s="167">
        <f>$B79*Aurora_Output!D54</f>
        <v>377.58307620096866</v>
      </c>
      <c r="E79" s="86">
        <f>$B79*Aurora_Output!E54</f>
        <v>377.58307620096866</v>
      </c>
      <c r="F79" s="86">
        <f>$B79*Aurora_Output!F54</f>
        <v>377.58307620096866</v>
      </c>
      <c r="G79" s="86">
        <f>$B79*Aurora_Output!G54</f>
        <v>377.58307620096866</v>
      </c>
      <c r="H79" s="86">
        <f>$B79*Aurora_Output!H54</f>
        <v>377.58307620096866</v>
      </c>
      <c r="I79" s="86">
        <f>$B79*Aurora_Output!I54</f>
        <v>377.58307620096866</v>
      </c>
      <c r="J79" s="86">
        <f>$B79*Aurora_Output!J54</f>
        <v>377.58307620096866</v>
      </c>
      <c r="K79" s="86">
        <f>$B79*Aurora_Output!K54</f>
        <v>377.58307620096866</v>
      </c>
      <c r="L79" s="86">
        <f>$B79*Aurora_Output!L54</f>
        <v>377.58307620096866</v>
      </c>
      <c r="M79" s="86">
        <f>$B79*Aurora_Output!M54</f>
        <v>377.58307620096866</v>
      </c>
      <c r="N79" s="86">
        <f>$B79*Aurora_Output!N54</f>
        <v>377.58307620096866</v>
      </c>
      <c r="O79" s="86">
        <f>$B79*Aurora_Output!O54</f>
        <v>377.58307620096866</v>
      </c>
      <c r="P79" s="86">
        <f>$B79*Aurora_Output!P54</f>
        <v>377.58307620096866</v>
      </c>
      <c r="Q79" s="86">
        <f>$B79*Aurora_Output!Q54</f>
        <v>377.58307620096866</v>
      </c>
      <c r="R79" s="86">
        <f>$B79*Aurora_Output!R54</f>
        <v>377.58307620096866</v>
      </c>
      <c r="S79" s="86">
        <f>$B79*Aurora_Output!S54</f>
        <v>377.58307620096866</v>
      </c>
      <c r="T79" s="86">
        <f>$B79*Aurora_Output!T54</f>
        <v>377.58307620096866</v>
      </c>
      <c r="U79" s="86">
        <f>$B79*Aurora_Output!U54</f>
        <v>0</v>
      </c>
      <c r="V79" s="86">
        <f>$B79*Aurora_Output!V54</f>
        <v>377.58307620096866</v>
      </c>
      <c r="W79" s="86">
        <f>$B79*Aurora_Output!W54</f>
        <v>377.58307620096866</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015f1b76-b32e-440f-80a7-f0ca4d8a872c" ContentTypeId="0x0101006E56B4D1795A2E4DB2F0B01679ED314A" PreviousValue="true"/>
</file>

<file path=customXml/item3.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Report</DocumentSetType>
    <Visibility xmlns="dc463f71-b30c-4ab2-9473-d307f9d35888">Full Visibility</Visibility>
    <IsConfidential xmlns="dc463f71-b30c-4ab2-9473-d307f9d35888">false</IsConfidential>
    <AgendaOrder xmlns="dc463f71-b30c-4ab2-9473-d307f9d35888">false</AgendaOrder>
    <CaseType xmlns="dc463f71-b30c-4ab2-9473-d307f9d35888">Plan</CaseType>
    <IndustryCode xmlns="dc463f71-b30c-4ab2-9473-d307f9d35888">140</IndustryCode>
    <CaseStatus xmlns="dc463f71-b30c-4ab2-9473-d307f9d35888">Pending</CaseStatus>
    <OpenedDate xmlns="dc463f71-b30c-4ab2-9473-d307f9d35888">2020-04-01T07:00:00+00:00</OpenedDate>
    <SignificantOrder xmlns="dc463f71-b30c-4ab2-9473-d307f9d35888">false</SignificantOrder>
    <Date1 xmlns="dc463f71-b30c-4ab2-9473-d307f9d35888">2023-03-31T07:00:00+00:00</Date1>
    <IsDocumentOrder xmlns="dc463f71-b30c-4ab2-9473-d307f9d35888">false</IsDocumentOrder>
    <IsHighlyConfidential xmlns="dc463f71-b30c-4ab2-9473-d307f9d35888">false</IsHighlyConfidential>
    <CaseCompanyNames xmlns="dc463f71-b30c-4ab2-9473-d307f9d35888">Puget Sound Energy</CaseCompanyNames>
    <Nickname xmlns="http://schemas.microsoft.com/sharepoint/v3" xsi:nil="true"/>
    <DocketNumber xmlns="dc463f71-b30c-4ab2-9473-d307f9d35888">200304</DocketNumber>
    <DelegatedOrder xmlns="dc463f71-b30c-4ab2-9473-d307f9d35888">false</DelegatedOrder>
  </documentManagement>
</p:properties>
</file>

<file path=customXml/item4.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505698CA04C43D45AEDAF50110BA23A2" ma:contentTypeVersion="52" ma:contentTypeDescription="" ma:contentTypeScope="" ma:versionID="e22b57e6843e6109cbbb6b70f1963938">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9af6b0a9aa2de783aac4f3d36dbacc3c"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870EE1-91FC-4B30-9724-67AB3462B563}">
  <ds:schemaRefs>
    <ds:schemaRef ds:uri="http://schemas.microsoft.com/sharepoint/v3/contenttype/forms"/>
  </ds:schemaRefs>
</ds:datastoreItem>
</file>

<file path=customXml/itemProps2.xml><?xml version="1.0" encoding="utf-8"?>
<ds:datastoreItem xmlns:ds="http://schemas.openxmlformats.org/officeDocument/2006/customXml" ds:itemID="{0B8FCCA1-7E11-4D5E-90E7-8C43D38F3D25}"/>
</file>

<file path=customXml/itemProps3.xml><?xml version="1.0" encoding="utf-8"?>
<ds:datastoreItem xmlns:ds="http://schemas.openxmlformats.org/officeDocument/2006/customXml" ds:itemID="{BB350711-F9EA-4F48-A09E-11DCF08D6A3C}">
  <ds:schemaRefs>
    <ds:schemaRef ds:uri="http://schemas.microsoft.com/office/2006/metadata/properties"/>
    <ds:schemaRef ds:uri="http://schemas.microsoft.com/office/infopath/2007/PartnerControls"/>
    <ds:schemaRef ds:uri="05c48ce0-4d89-4963-aafd-11232efce197"/>
    <ds:schemaRef ds:uri="cc873dea-6f09-4fe9-933a-b90171513557"/>
  </ds:schemaRefs>
</ds:datastoreItem>
</file>

<file path=customXml/itemProps4.xml><?xml version="1.0" encoding="utf-8"?>
<ds:datastoreItem xmlns:ds="http://schemas.openxmlformats.org/officeDocument/2006/customXml" ds:itemID="{33917BD9-72A2-47C6-BF9C-E0F76862BCC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Charts</vt:lpstr>
      </vt:variant>
      <vt:variant>
        <vt:i4>1</vt:i4>
      </vt:variant>
    </vt:vector>
  </HeadingPairs>
  <TitlesOfParts>
    <vt:vector size="18" baseType="lpstr">
      <vt:lpstr>ReadMe</vt:lpstr>
      <vt:lpstr>Calculator</vt:lpstr>
      <vt:lpstr>Data_Input=&gt;</vt:lpstr>
      <vt:lpstr>Aurora_Output</vt:lpstr>
      <vt:lpstr>Plot_Data</vt:lpstr>
      <vt:lpstr>Updated_Automatically=&gt;</vt:lpstr>
      <vt:lpstr>Emissions_All</vt:lpstr>
      <vt:lpstr>PortfolioCost</vt:lpstr>
      <vt:lpstr>Jobs_Creation</vt:lpstr>
      <vt:lpstr>DR_Peak_Capacity</vt:lpstr>
      <vt:lpstr>DER_Solar_Participation</vt:lpstr>
      <vt:lpstr>DER_Storage_Participation</vt:lpstr>
      <vt:lpstr>EE_Added</vt:lpstr>
      <vt:lpstr>DR_Participation</vt:lpstr>
      <vt:lpstr>Calculation_Worksheetss=&gt;</vt:lpstr>
      <vt:lpstr>Jobs_Per_MW</vt:lpstr>
      <vt:lpstr>Net_Metering_Data</vt:lpstr>
      <vt:lpstr>Plot_CBI_Index_and_Cost</vt:lpstr>
    </vt:vector>
  </TitlesOfParts>
  <Manager/>
  <Company>PUGET SOUND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Tobin, Tyler</dc:creator>
  <cp:keywords/>
  <dc:description/>
  <cp:lastModifiedBy>Karpoff, Alexandra</cp:lastModifiedBy>
  <cp:revision/>
  <dcterms:created xsi:type="dcterms:W3CDTF">2022-06-29T21:33:31Z</dcterms:created>
  <dcterms:modified xsi:type="dcterms:W3CDTF">2023-03-17T00:37:44Z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0x0101006E56B4D1795A2E4DB2F0B01679ED314A00505698CA04C43D45AEDAF50110BA23A2</vt:lpwstr>
  </property>
  <property fmtid="{D5CDD505-2E9C-101B-9397-08002B2CF9AE}" pid="3" name="MediaServiceImageTags">
    <vt:lpwstr/>
  </property>
  <property fmtid="{D5CDD505-2E9C-101B-9397-08002B2CF9AE}" pid="4" name="_docset_NoMedatataSyncRequired">
    <vt:lpwstr>False</vt:lpwstr>
  </property>
</Properties>
</file>